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6" yWindow="312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субсидий'!$A$1:$AK$377</definedName>
  </definedNames>
  <calcPr calcId="125725"/>
</workbook>
</file>

<file path=xl/calcChain.xml><?xml version="1.0" encoding="utf-8"?>
<calcChain xmlns="http://schemas.openxmlformats.org/spreadsheetml/2006/main">
  <c r="AK376" i="7"/>
  <c r="AK375"/>
  <c r="AK374"/>
  <c r="AK373"/>
  <c r="AK372"/>
  <c r="AK371"/>
  <c r="AK370"/>
  <c r="AK369"/>
  <c r="AK368"/>
  <c r="AK367"/>
  <c r="AK366"/>
  <c r="AK365"/>
  <c r="AK363"/>
  <c r="AK362"/>
  <c r="AK361"/>
  <c r="AK360"/>
  <c r="AK359"/>
  <c r="AK358"/>
  <c r="AK357"/>
  <c r="AK356"/>
  <c r="AK355"/>
  <c r="AK354"/>
  <c r="AK353"/>
  <c r="AK351"/>
  <c r="AK350"/>
  <c r="AK349"/>
  <c r="AK348"/>
  <c r="AK347"/>
  <c r="AK346"/>
  <c r="AK345"/>
  <c r="AK344"/>
  <c r="AK343"/>
  <c r="AK342"/>
  <c r="AK341"/>
  <c r="AK339"/>
  <c r="AK338"/>
  <c r="AK337"/>
  <c r="AK336"/>
  <c r="AK335"/>
  <c r="AK334"/>
  <c r="AK333"/>
  <c r="AK332"/>
  <c r="AK331"/>
  <c r="AK330"/>
  <c r="AK329"/>
  <c r="AK327"/>
  <c r="AK326"/>
  <c r="AK325"/>
  <c r="AK324"/>
  <c r="AK323"/>
  <c r="AK322"/>
  <c r="AK321"/>
  <c r="AK320"/>
  <c r="AK319"/>
  <c r="AK318"/>
  <c r="AK317"/>
  <c r="AK316"/>
  <c r="AK315"/>
  <c r="AK314"/>
  <c r="AK313"/>
  <c r="AK311"/>
  <c r="AK310"/>
  <c r="AK309"/>
  <c r="AK308"/>
  <c r="AK307"/>
  <c r="AK306"/>
  <c r="AK305"/>
  <c r="AK304"/>
  <c r="AK303"/>
  <c r="AK302"/>
  <c r="AK301"/>
  <c r="AK300"/>
  <c r="AK299"/>
  <c r="AK298"/>
  <c r="AK297"/>
  <c r="AK296"/>
  <c r="AK295"/>
  <c r="AK294"/>
  <c r="AK293"/>
  <c r="AK292"/>
  <c r="AK291"/>
  <c r="AK290"/>
  <c r="AK289"/>
  <c r="AK288"/>
  <c r="AK286"/>
  <c r="AK285"/>
  <c r="AK284"/>
  <c r="AK283"/>
  <c r="AK282"/>
  <c r="AK281"/>
  <c r="AK280"/>
  <c r="AK279"/>
  <c r="AK278"/>
  <c r="AK277"/>
  <c r="AK276"/>
  <c r="AK275"/>
  <c r="AK274"/>
  <c r="AK273"/>
  <c r="AK272"/>
  <c r="AK271"/>
  <c r="AK270"/>
  <c r="AK268"/>
  <c r="AK267"/>
  <c r="AK266"/>
  <c r="AK265"/>
  <c r="AK264"/>
  <c r="AK263"/>
  <c r="AK262"/>
  <c r="AK260"/>
  <c r="AK259"/>
  <c r="AK258"/>
  <c r="AK257"/>
  <c r="AK256"/>
  <c r="AK255"/>
  <c r="AK254"/>
  <c r="AK253"/>
  <c r="AK252"/>
  <c r="AK251"/>
  <c r="AK250"/>
  <c r="AK249"/>
  <c r="AK248"/>
  <c r="AK247"/>
  <c r="AK246"/>
  <c r="AK244"/>
  <c r="AK243"/>
  <c r="AK242"/>
  <c r="AK241"/>
  <c r="AK240"/>
  <c r="AK239"/>
  <c r="AK238"/>
  <c r="AK237"/>
  <c r="AK235"/>
  <c r="AK234"/>
  <c r="AK233"/>
  <c r="AK232"/>
  <c r="AK231"/>
  <c r="AK230"/>
  <c r="AK229"/>
  <c r="AK228"/>
  <c r="AK227"/>
  <c r="AK225"/>
  <c r="AK224"/>
  <c r="AK223"/>
  <c r="AK222"/>
  <c r="AK221"/>
  <c r="AK220"/>
  <c r="AK219"/>
  <c r="AK218"/>
  <c r="AK217"/>
  <c r="AK216"/>
  <c r="AK215"/>
  <c r="AK214"/>
  <c r="AK213"/>
  <c r="AK211"/>
  <c r="AK210"/>
  <c r="AK209"/>
  <c r="AK208"/>
  <c r="AK207"/>
  <c r="AK206"/>
  <c r="AK205"/>
  <c r="AK204"/>
  <c r="AK203"/>
  <c r="AK202"/>
  <c r="AK201"/>
  <c r="AK200"/>
  <c r="AK198"/>
  <c r="AK197"/>
  <c r="AK196"/>
  <c r="AK195"/>
  <c r="AK194"/>
  <c r="AK193"/>
  <c r="AK192"/>
  <c r="AK191"/>
  <c r="AK190"/>
  <c r="AK189"/>
  <c r="AK188"/>
  <c r="AK187"/>
  <c r="AK186"/>
  <c r="AK184"/>
  <c r="AK183"/>
  <c r="AK182"/>
  <c r="AK181"/>
  <c r="AK180"/>
  <c r="AK179"/>
  <c r="AK178"/>
  <c r="AK177"/>
  <c r="AK176"/>
  <c r="AK175"/>
  <c r="AK174"/>
  <c r="AK172"/>
  <c r="AK171"/>
  <c r="AK170"/>
  <c r="AK169"/>
  <c r="AK168"/>
  <c r="AK167"/>
  <c r="AK166"/>
  <c r="AK165"/>
  <c r="AK164"/>
  <c r="AK163"/>
  <c r="AK162"/>
  <c r="AK161"/>
  <c r="AK160"/>
  <c r="AK158"/>
  <c r="AK157"/>
  <c r="AK156"/>
  <c r="AK155"/>
  <c r="AK154"/>
  <c r="AK153"/>
  <c r="AK152"/>
  <c r="AK151"/>
  <c r="AK150"/>
  <c r="AK149"/>
  <c r="AK148"/>
  <c r="AK147"/>
  <c r="AK145"/>
  <c r="AK144"/>
  <c r="AK143"/>
  <c r="AK142"/>
  <c r="AK141"/>
  <c r="AK140"/>
  <c r="AK138"/>
  <c r="AK137"/>
  <c r="AK136"/>
  <c r="AK135"/>
  <c r="AK134"/>
  <c r="AK133"/>
  <c r="AK132"/>
  <c r="AK131"/>
  <c r="AK130"/>
  <c r="AK128"/>
  <c r="AK127"/>
  <c r="AK126"/>
  <c r="AK125"/>
  <c r="AK124"/>
  <c r="AK123"/>
  <c r="AK122"/>
  <c r="AK120"/>
  <c r="AK119"/>
  <c r="AK118"/>
  <c r="AK117"/>
  <c r="AK116"/>
  <c r="AK115"/>
  <c r="AK114"/>
  <c r="AK113"/>
  <c r="AK112"/>
  <c r="AK111"/>
  <c r="AK110"/>
  <c r="AK109"/>
  <c r="AK108"/>
  <c r="AK107"/>
  <c r="AK106"/>
  <c r="AK104"/>
  <c r="AK103"/>
  <c r="AK102"/>
  <c r="AK101"/>
  <c r="AK100"/>
  <c r="AK99"/>
  <c r="AK98"/>
  <c r="AK97"/>
  <c r="AK96"/>
  <c r="AK95"/>
  <c r="AK94"/>
  <c r="AK93"/>
  <c r="AK92"/>
  <c r="AK90"/>
  <c r="AK89"/>
  <c r="AK88"/>
  <c r="AK87"/>
  <c r="AK86"/>
  <c r="AK85"/>
  <c r="AK84"/>
  <c r="AK83"/>
  <c r="AK82"/>
  <c r="AK80"/>
  <c r="AK79"/>
  <c r="AK78"/>
  <c r="AK77"/>
  <c r="AK76"/>
  <c r="AK75"/>
  <c r="AK74"/>
  <c r="AK73"/>
  <c r="AK71"/>
  <c r="AK70"/>
  <c r="AK69"/>
  <c r="AK68"/>
  <c r="AK67"/>
  <c r="AK65"/>
  <c r="AK64"/>
  <c r="AK63"/>
  <c r="AK62"/>
  <c r="AK61"/>
  <c r="AK60"/>
  <c r="AK59"/>
  <c r="AK58"/>
  <c r="AK57"/>
  <c r="AK56"/>
  <c r="AK55"/>
  <c r="AK54"/>
  <c r="AK53"/>
  <c r="AK51"/>
  <c r="AK50"/>
  <c r="AK49"/>
  <c r="AK48"/>
  <c r="AK47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6"/>
  <c r="AK15"/>
  <c r="AK14"/>
  <c r="AK13"/>
  <c r="AK12"/>
  <c r="AK11"/>
  <c r="AK10"/>
  <c r="AK9"/>
  <c r="AK8"/>
  <c r="AK7"/>
  <c r="X47" i="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8"/>
  <c r="X8"/>
  <c r="X9"/>
  <c r="X10"/>
  <c r="X11"/>
  <c r="X12"/>
  <c r="X13"/>
  <c r="X14"/>
  <c r="X15"/>
  <c r="X16"/>
  <c r="X7"/>
  <c r="AF7" i="7" l="1"/>
  <c r="AC48"/>
  <c r="AC49"/>
  <c r="AC50"/>
  <c r="AC51"/>
  <c r="AC53"/>
  <c r="AC54"/>
  <c r="AC55"/>
  <c r="AC56"/>
  <c r="AC57"/>
  <c r="AC58"/>
  <c r="AC59"/>
  <c r="AC60"/>
  <c r="AC61"/>
  <c r="AC62"/>
  <c r="AC63"/>
  <c r="AC64"/>
  <c r="AC65"/>
  <c r="AC67"/>
  <c r="AC68"/>
  <c r="AC69"/>
  <c r="AC70"/>
  <c r="AC71"/>
  <c r="AC73"/>
  <c r="AC74"/>
  <c r="AC75"/>
  <c r="AC76"/>
  <c r="AC77"/>
  <c r="AC78"/>
  <c r="AC79"/>
  <c r="AC80"/>
  <c r="AC82"/>
  <c r="AC83"/>
  <c r="AC84"/>
  <c r="AC85"/>
  <c r="AC86"/>
  <c r="AC87"/>
  <c r="AC88"/>
  <c r="AC89"/>
  <c r="AC90"/>
  <c r="AC92"/>
  <c r="AC93"/>
  <c r="AC94"/>
  <c r="AC95"/>
  <c r="AC96"/>
  <c r="AC97"/>
  <c r="AC98"/>
  <c r="AC99"/>
  <c r="AC100"/>
  <c r="AC101"/>
  <c r="AC102"/>
  <c r="AC103"/>
  <c r="AC104"/>
  <c r="AC106"/>
  <c r="AC107"/>
  <c r="AC108"/>
  <c r="AC110"/>
  <c r="AC111"/>
  <c r="AC112"/>
  <c r="AC113"/>
  <c r="AC114"/>
  <c r="AC115"/>
  <c r="AC116"/>
  <c r="AC117"/>
  <c r="AC118"/>
  <c r="AC119"/>
  <c r="AC120"/>
  <c r="AC122"/>
  <c r="AC123"/>
  <c r="AC124"/>
  <c r="AC125"/>
  <c r="AC126"/>
  <c r="AC127"/>
  <c r="AC128"/>
  <c r="AC130"/>
  <c r="AC131"/>
  <c r="AC132"/>
  <c r="AC133"/>
  <c r="AC134"/>
  <c r="AC135"/>
  <c r="AC136"/>
  <c r="AC137"/>
  <c r="AC138"/>
  <c r="AC140"/>
  <c r="AC141"/>
  <c r="AC142"/>
  <c r="AC143"/>
  <c r="AC144"/>
  <c r="AC145"/>
  <c r="AC147"/>
  <c r="AC148"/>
  <c r="AC149"/>
  <c r="AC150"/>
  <c r="AC151"/>
  <c r="AC152"/>
  <c r="AC153"/>
  <c r="AC154"/>
  <c r="AC155"/>
  <c r="AC156"/>
  <c r="AC157"/>
  <c r="AC158"/>
  <c r="AC160"/>
  <c r="AC161"/>
  <c r="AC162"/>
  <c r="AC163"/>
  <c r="AC164"/>
  <c r="AC165"/>
  <c r="AC166"/>
  <c r="AC167"/>
  <c r="AC168"/>
  <c r="AC169"/>
  <c r="AC170"/>
  <c r="AC171"/>
  <c r="AC172"/>
  <c r="AC174"/>
  <c r="AC175"/>
  <c r="AC176"/>
  <c r="AC177"/>
  <c r="AC178"/>
  <c r="AC179"/>
  <c r="AC180"/>
  <c r="AC181"/>
  <c r="AC182"/>
  <c r="AC183"/>
  <c r="AC184"/>
  <c r="AC186"/>
  <c r="AC187"/>
  <c r="AC188"/>
  <c r="AC189"/>
  <c r="AC190"/>
  <c r="AC191"/>
  <c r="AC192"/>
  <c r="AC193"/>
  <c r="AC194"/>
  <c r="AC195"/>
  <c r="AC196"/>
  <c r="AC197"/>
  <c r="AC198"/>
  <c r="AC200"/>
  <c r="AC201"/>
  <c r="AC202"/>
  <c r="AC203"/>
  <c r="AC204"/>
  <c r="AC205"/>
  <c r="AC206"/>
  <c r="AC207"/>
  <c r="AC208"/>
  <c r="AC209"/>
  <c r="AC210"/>
  <c r="AC211"/>
  <c r="AC213"/>
  <c r="AC214"/>
  <c r="AC215"/>
  <c r="AC216"/>
  <c r="AC217"/>
  <c r="AC218"/>
  <c r="AC219"/>
  <c r="AC220"/>
  <c r="AC221"/>
  <c r="AC222"/>
  <c r="AC223"/>
  <c r="AC224"/>
  <c r="AC225"/>
  <c r="AC227"/>
  <c r="AC228"/>
  <c r="AC229"/>
  <c r="AC230"/>
  <c r="AC231"/>
  <c r="AC232"/>
  <c r="AC233"/>
  <c r="AC234"/>
  <c r="AC235"/>
  <c r="AC237"/>
  <c r="AC238"/>
  <c r="AC239"/>
  <c r="AC240"/>
  <c r="AC241"/>
  <c r="AC242"/>
  <c r="AC243"/>
  <c r="AC244"/>
  <c r="AC246"/>
  <c r="AC247"/>
  <c r="AC248"/>
  <c r="AC249"/>
  <c r="AC250"/>
  <c r="AC251"/>
  <c r="AC252"/>
  <c r="AC253"/>
  <c r="AC254"/>
  <c r="AC255"/>
  <c r="AC256"/>
  <c r="AC257"/>
  <c r="AC258"/>
  <c r="AC259"/>
  <c r="AC260"/>
  <c r="AC262"/>
  <c r="AC263"/>
  <c r="AC264"/>
  <c r="AC265"/>
  <c r="AC266"/>
  <c r="AC267"/>
  <c r="AC268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3"/>
  <c r="AC314"/>
  <c r="AC315"/>
  <c r="AC316"/>
  <c r="AC317"/>
  <c r="AC318"/>
  <c r="AC319"/>
  <c r="AC320"/>
  <c r="AC321"/>
  <c r="AC322"/>
  <c r="AC323"/>
  <c r="AC324"/>
  <c r="AC325"/>
  <c r="AC326"/>
  <c r="AC327"/>
  <c r="AC329"/>
  <c r="AC330"/>
  <c r="AC331"/>
  <c r="AC332"/>
  <c r="AC333"/>
  <c r="AC334"/>
  <c r="AC335"/>
  <c r="AC336"/>
  <c r="AC337"/>
  <c r="AC338"/>
  <c r="AC339"/>
  <c r="AC341"/>
  <c r="AC342"/>
  <c r="AC343"/>
  <c r="AC344"/>
  <c r="AC345"/>
  <c r="AC346"/>
  <c r="AC347"/>
  <c r="AC348"/>
  <c r="AC349"/>
  <c r="AC350"/>
  <c r="AC351"/>
  <c r="AC353"/>
  <c r="AC354"/>
  <c r="AC355"/>
  <c r="AC356"/>
  <c r="AC357"/>
  <c r="AC358"/>
  <c r="AC359"/>
  <c r="AC360"/>
  <c r="AC361"/>
  <c r="AC362"/>
  <c r="AC363"/>
  <c r="AC365"/>
  <c r="AC366"/>
  <c r="AC367"/>
  <c r="AC368"/>
  <c r="AC369"/>
  <c r="AC370"/>
  <c r="AC371"/>
  <c r="AC372"/>
  <c r="AC373"/>
  <c r="AC374"/>
  <c r="AC375"/>
  <c r="AC376"/>
  <c r="AC47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18"/>
  <c r="AC8"/>
  <c r="AC9"/>
  <c r="AC10"/>
  <c r="AC11"/>
  <c r="AC12"/>
  <c r="AC13"/>
  <c r="AC14"/>
  <c r="AC15"/>
  <c r="AC16"/>
  <c r="AC7"/>
  <c r="AB48"/>
  <c r="AB49"/>
  <c r="AB50"/>
  <c r="AB51"/>
  <c r="AB53"/>
  <c r="AB54"/>
  <c r="AB55"/>
  <c r="AB56"/>
  <c r="AB57"/>
  <c r="AB58"/>
  <c r="AB59"/>
  <c r="AB60"/>
  <c r="AB61"/>
  <c r="AB62"/>
  <c r="AB63"/>
  <c r="AB64"/>
  <c r="AB65"/>
  <c r="AB67"/>
  <c r="AB68"/>
  <c r="AB69"/>
  <c r="AB70"/>
  <c r="AB71"/>
  <c r="AB73"/>
  <c r="AB74"/>
  <c r="AB75"/>
  <c r="AB76"/>
  <c r="AB77"/>
  <c r="AB78"/>
  <c r="AB79"/>
  <c r="AB80"/>
  <c r="AB82"/>
  <c r="AB83"/>
  <c r="AB84"/>
  <c r="AB85"/>
  <c r="AB86"/>
  <c r="AB87"/>
  <c r="AB88"/>
  <c r="AB89"/>
  <c r="AB90"/>
  <c r="AB92"/>
  <c r="AB93"/>
  <c r="AB94"/>
  <c r="AB95"/>
  <c r="AB96"/>
  <c r="AB97"/>
  <c r="AB98"/>
  <c r="AB99"/>
  <c r="AB100"/>
  <c r="AB101"/>
  <c r="AB102"/>
  <c r="AB103"/>
  <c r="AB104"/>
  <c r="AB106"/>
  <c r="AB107"/>
  <c r="AB108"/>
  <c r="AB110"/>
  <c r="AB111"/>
  <c r="AB112"/>
  <c r="AB113"/>
  <c r="AB114"/>
  <c r="AB115"/>
  <c r="AB116"/>
  <c r="AB117"/>
  <c r="AB118"/>
  <c r="AB119"/>
  <c r="AB120"/>
  <c r="AB122"/>
  <c r="AB123"/>
  <c r="AB124"/>
  <c r="AB125"/>
  <c r="AB126"/>
  <c r="AB127"/>
  <c r="AB128"/>
  <c r="AB130"/>
  <c r="AB131"/>
  <c r="AB132"/>
  <c r="AB133"/>
  <c r="AB134"/>
  <c r="AB135"/>
  <c r="AB136"/>
  <c r="AB137"/>
  <c r="AB138"/>
  <c r="AB140"/>
  <c r="AB141"/>
  <c r="AB142"/>
  <c r="AB143"/>
  <c r="AB144"/>
  <c r="AB145"/>
  <c r="AB147"/>
  <c r="AB148"/>
  <c r="AB149"/>
  <c r="AB150"/>
  <c r="AB151"/>
  <c r="AB152"/>
  <c r="AB153"/>
  <c r="AB154"/>
  <c r="AB155"/>
  <c r="AB156"/>
  <c r="AB157"/>
  <c r="AB158"/>
  <c r="AB160"/>
  <c r="AB161"/>
  <c r="AB162"/>
  <c r="AB163"/>
  <c r="AB164"/>
  <c r="AB165"/>
  <c r="AB166"/>
  <c r="AB167"/>
  <c r="AB168"/>
  <c r="AB169"/>
  <c r="AB170"/>
  <c r="AB171"/>
  <c r="AB172"/>
  <c r="AB174"/>
  <c r="AB175"/>
  <c r="AB176"/>
  <c r="AB177"/>
  <c r="AB178"/>
  <c r="AB179"/>
  <c r="AB180"/>
  <c r="AB181"/>
  <c r="AB182"/>
  <c r="AB183"/>
  <c r="AB184"/>
  <c r="AB186"/>
  <c r="AB187"/>
  <c r="AB188"/>
  <c r="AB189"/>
  <c r="AB190"/>
  <c r="AB191"/>
  <c r="AB192"/>
  <c r="AB193"/>
  <c r="AB194"/>
  <c r="AB195"/>
  <c r="AB196"/>
  <c r="AB197"/>
  <c r="AB198"/>
  <c r="AB200"/>
  <c r="AB201"/>
  <c r="AB202"/>
  <c r="AB203"/>
  <c r="AB204"/>
  <c r="AB205"/>
  <c r="AB206"/>
  <c r="AB207"/>
  <c r="AB208"/>
  <c r="AB209"/>
  <c r="AB210"/>
  <c r="AB211"/>
  <c r="AB213"/>
  <c r="AB214"/>
  <c r="AB215"/>
  <c r="AB216"/>
  <c r="AB217"/>
  <c r="AB218"/>
  <c r="AB219"/>
  <c r="AB220"/>
  <c r="AB221"/>
  <c r="AB222"/>
  <c r="AB223"/>
  <c r="AB224"/>
  <c r="AB225"/>
  <c r="AB227"/>
  <c r="AB228"/>
  <c r="AB229"/>
  <c r="AB230"/>
  <c r="AB231"/>
  <c r="AB232"/>
  <c r="AB233"/>
  <c r="AB234"/>
  <c r="AB235"/>
  <c r="AB237"/>
  <c r="AB238"/>
  <c r="AB239"/>
  <c r="AB240"/>
  <c r="AB241"/>
  <c r="AB242"/>
  <c r="AB243"/>
  <c r="AB244"/>
  <c r="AB246"/>
  <c r="AB247"/>
  <c r="AB248"/>
  <c r="AB249"/>
  <c r="AB250"/>
  <c r="AB251"/>
  <c r="AB252"/>
  <c r="AB253"/>
  <c r="AB254"/>
  <c r="AB255"/>
  <c r="AB256"/>
  <c r="AB257"/>
  <c r="AB258"/>
  <c r="AB259"/>
  <c r="AB260"/>
  <c r="AB262"/>
  <c r="AB263"/>
  <c r="AB264"/>
  <c r="AB265"/>
  <c r="AB266"/>
  <c r="AB267"/>
  <c r="AB268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3"/>
  <c r="AB314"/>
  <c r="AB315"/>
  <c r="AB316"/>
  <c r="AB317"/>
  <c r="AB318"/>
  <c r="AB319"/>
  <c r="AB320"/>
  <c r="AB321"/>
  <c r="AB322"/>
  <c r="AB323"/>
  <c r="AB324"/>
  <c r="AB325"/>
  <c r="AB326"/>
  <c r="AB327"/>
  <c r="AB329"/>
  <c r="AB330"/>
  <c r="AB331"/>
  <c r="AB332"/>
  <c r="AB333"/>
  <c r="AB334"/>
  <c r="AB335"/>
  <c r="AB336"/>
  <c r="AB337"/>
  <c r="AB338"/>
  <c r="AB339"/>
  <c r="AB341"/>
  <c r="AB342"/>
  <c r="AB343"/>
  <c r="AB344"/>
  <c r="AB345"/>
  <c r="AB346"/>
  <c r="AB347"/>
  <c r="AB348"/>
  <c r="AB349"/>
  <c r="AB350"/>
  <c r="AB351"/>
  <c r="AB353"/>
  <c r="AB354"/>
  <c r="AB355"/>
  <c r="AB356"/>
  <c r="AB357"/>
  <c r="AB358"/>
  <c r="AB359"/>
  <c r="AB360"/>
  <c r="AB361"/>
  <c r="AB362"/>
  <c r="AB363"/>
  <c r="AB365"/>
  <c r="AB366"/>
  <c r="AB367"/>
  <c r="AB368"/>
  <c r="AB369"/>
  <c r="AB370"/>
  <c r="AB371"/>
  <c r="AB372"/>
  <c r="AB373"/>
  <c r="AB374"/>
  <c r="AB375"/>
  <c r="AB376"/>
  <c r="AB47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18"/>
  <c r="AB8"/>
  <c r="AB9"/>
  <c r="AB10"/>
  <c r="AB11"/>
  <c r="AB12"/>
  <c r="AB13"/>
  <c r="AB14"/>
  <c r="AB15"/>
  <c r="AB16"/>
  <c r="AB7"/>
  <c r="Z376"/>
  <c r="Z375"/>
  <c r="Z374"/>
  <c r="Z373"/>
  <c r="Z372"/>
  <c r="Z371"/>
  <c r="Z370"/>
  <c r="Z369"/>
  <c r="Z368"/>
  <c r="Z367"/>
  <c r="Z366"/>
  <c r="Z365"/>
  <c r="Z363"/>
  <c r="Z362"/>
  <c r="Z361"/>
  <c r="Z360"/>
  <c r="Z359"/>
  <c r="Z358"/>
  <c r="Z357"/>
  <c r="Z356"/>
  <c r="Z355"/>
  <c r="Z354"/>
  <c r="Z353"/>
  <c r="Z351"/>
  <c r="Z350"/>
  <c r="Z349"/>
  <c r="Z348"/>
  <c r="Z347"/>
  <c r="Z346"/>
  <c r="Z345"/>
  <c r="Z344"/>
  <c r="Z343"/>
  <c r="Z342"/>
  <c r="Z341"/>
  <c r="Z339"/>
  <c r="Z338"/>
  <c r="Z337"/>
  <c r="Z336"/>
  <c r="Z335"/>
  <c r="Z334"/>
  <c r="Z333"/>
  <c r="Z332"/>
  <c r="Z331"/>
  <c r="Z330"/>
  <c r="Z329"/>
  <c r="Z327"/>
  <c r="Z326"/>
  <c r="Z325"/>
  <c r="Z324"/>
  <c r="Z323"/>
  <c r="Z322"/>
  <c r="Z321"/>
  <c r="Z320"/>
  <c r="Z319"/>
  <c r="Z318"/>
  <c r="Z317"/>
  <c r="Z316"/>
  <c r="Z315"/>
  <c r="Z314"/>
  <c r="Z313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8"/>
  <c r="Z267"/>
  <c r="Z266"/>
  <c r="Z265"/>
  <c r="Z264"/>
  <c r="Z263"/>
  <c r="Z262"/>
  <c r="Z260"/>
  <c r="Z259"/>
  <c r="Z258"/>
  <c r="Z257"/>
  <c r="Z256"/>
  <c r="Z255"/>
  <c r="Z254"/>
  <c r="Z253"/>
  <c r="Z252"/>
  <c r="Z251"/>
  <c r="Z250"/>
  <c r="Z249"/>
  <c r="Z248"/>
  <c r="Z247"/>
  <c r="Z246"/>
  <c r="Z244"/>
  <c r="Z243"/>
  <c r="Z242"/>
  <c r="Z241"/>
  <c r="Z240"/>
  <c r="Z239"/>
  <c r="Z238"/>
  <c r="Z237"/>
  <c r="Z235"/>
  <c r="Z234"/>
  <c r="Z233"/>
  <c r="Z232"/>
  <c r="Z231"/>
  <c r="Z230"/>
  <c r="Z229"/>
  <c r="Z228"/>
  <c r="Z227"/>
  <c r="Z225"/>
  <c r="Z224"/>
  <c r="Z223"/>
  <c r="Z222"/>
  <c r="Z221"/>
  <c r="Z220"/>
  <c r="Z219"/>
  <c r="Z218"/>
  <c r="Z217"/>
  <c r="Z216"/>
  <c r="Z215"/>
  <c r="Z214"/>
  <c r="Z213"/>
  <c r="Z211"/>
  <c r="Z210"/>
  <c r="Z209"/>
  <c r="Z208"/>
  <c r="Z207"/>
  <c r="Z206"/>
  <c r="Z205"/>
  <c r="Z204"/>
  <c r="Z203"/>
  <c r="Z202"/>
  <c r="Z201"/>
  <c r="Z200"/>
  <c r="Z198"/>
  <c r="Z197"/>
  <c r="Z196"/>
  <c r="Z195"/>
  <c r="Z194"/>
  <c r="Z193"/>
  <c r="Z192"/>
  <c r="Z191"/>
  <c r="Z190"/>
  <c r="Z189"/>
  <c r="Z188"/>
  <c r="Z187"/>
  <c r="Z186"/>
  <c r="Z184"/>
  <c r="Z183"/>
  <c r="Z182"/>
  <c r="Z181"/>
  <c r="Z180"/>
  <c r="Z179"/>
  <c r="Z178"/>
  <c r="Z177"/>
  <c r="Z176"/>
  <c r="Z175"/>
  <c r="Z174"/>
  <c r="Z172"/>
  <c r="Z171"/>
  <c r="Z170"/>
  <c r="Z169"/>
  <c r="Z168"/>
  <c r="Z167"/>
  <c r="Z166"/>
  <c r="Z165"/>
  <c r="Z164"/>
  <c r="Z163"/>
  <c r="Z162"/>
  <c r="Z161"/>
  <c r="Z160"/>
  <c r="Z158"/>
  <c r="Z157"/>
  <c r="Z156"/>
  <c r="Z155"/>
  <c r="Z154"/>
  <c r="Z153"/>
  <c r="Z152"/>
  <c r="Z151"/>
  <c r="Z150"/>
  <c r="Z149"/>
  <c r="Z148"/>
  <c r="Z147"/>
  <c r="Z145"/>
  <c r="Z144"/>
  <c r="Z143"/>
  <c r="Z142"/>
  <c r="Z141"/>
  <c r="Z140"/>
  <c r="Z138"/>
  <c r="Z137"/>
  <c r="Z136"/>
  <c r="Z135"/>
  <c r="Z134"/>
  <c r="Z133"/>
  <c r="Z132"/>
  <c r="Z131"/>
  <c r="Z130"/>
  <c r="Z128"/>
  <c r="Z127"/>
  <c r="Z126"/>
  <c r="Z125"/>
  <c r="Z124"/>
  <c r="Z123"/>
  <c r="Z122"/>
  <c r="Z120"/>
  <c r="Z119"/>
  <c r="Z118"/>
  <c r="Z117"/>
  <c r="Z116"/>
  <c r="Z115"/>
  <c r="Z114"/>
  <c r="Z113"/>
  <c r="Z112"/>
  <c r="Z111"/>
  <c r="Z110"/>
  <c r="Z109"/>
  <c r="Z108"/>
  <c r="Z107"/>
  <c r="Z106"/>
  <c r="Z104"/>
  <c r="Z103"/>
  <c r="Z102"/>
  <c r="Z101"/>
  <c r="Z100"/>
  <c r="Z99"/>
  <c r="Z98"/>
  <c r="Z97"/>
  <c r="Z96"/>
  <c r="Z95"/>
  <c r="Z94"/>
  <c r="Z93"/>
  <c r="Z92"/>
  <c r="Z90"/>
  <c r="Z89"/>
  <c r="Z88"/>
  <c r="Z87"/>
  <c r="Z86"/>
  <c r="Z85"/>
  <c r="Z84"/>
  <c r="Z83"/>
  <c r="Z82"/>
  <c r="Z80"/>
  <c r="Z79"/>
  <c r="Z78"/>
  <c r="Z77"/>
  <c r="Z76"/>
  <c r="Z75"/>
  <c r="Z74"/>
  <c r="Z73"/>
  <c r="Z71"/>
  <c r="Z70"/>
  <c r="Z69"/>
  <c r="Z68"/>
  <c r="Z67"/>
  <c r="Z65"/>
  <c r="Z64"/>
  <c r="Z63"/>
  <c r="Z62"/>
  <c r="Z61"/>
  <c r="Z60"/>
  <c r="Z59"/>
  <c r="Z58"/>
  <c r="Z57"/>
  <c r="Z56"/>
  <c r="Z55"/>
  <c r="Z54"/>
  <c r="Z53"/>
  <c r="Z51"/>
  <c r="Z50"/>
  <c r="Z49"/>
  <c r="Z48"/>
  <c r="Z47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V376"/>
  <c r="V375"/>
  <c r="V374"/>
  <c r="V373"/>
  <c r="V372"/>
  <c r="V371"/>
  <c r="V370"/>
  <c r="V369"/>
  <c r="V368"/>
  <c r="V367"/>
  <c r="V366"/>
  <c r="V365"/>
  <c r="V363"/>
  <c r="V362"/>
  <c r="V361"/>
  <c r="V360"/>
  <c r="V359"/>
  <c r="V358"/>
  <c r="V357"/>
  <c r="V356"/>
  <c r="V355"/>
  <c r="V354"/>
  <c r="V353"/>
  <c r="V351"/>
  <c r="V350"/>
  <c r="V349"/>
  <c r="V348"/>
  <c r="V347"/>
  <c r="V346"/>
  <c r="V345"/>
  <c r="V344"/>
  <c r="V343"/>
  <c r="V342"/>
  <c r="V341"/>
  <c r="V339"/>
  <c r="V338"/>
  <c r="V337"/>
  <c r="V336"/>
  <c r="V335"/>
  <c r="V334"/>
  <c r="V333"/>
  <c r="V332"/>
  <c r="V331"/>
  <c r="V330"/>
  <c r="V329"/>
  <c r="V327"/>
  <c r="V326"/>
  <c r="V325"/>
  <c r="V324"/>
  <c r="V323"/>
  <c r="V322"/>
  <c r="V321"/>
  <c r="V320"/>
  <c r="V319"/>
  <c r="V318"/>
  <c r="V317"/>
  <c r="V316"/>
  <c r="V315"/>
  <c r="V314"/>
  <c r="V313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8"/>
  <c r="V267"/>
  <c r="V266"/>
  <c r="V265"/>
  <c r="V264"/>
  <c r="V263"/>
  <c r="V262"/>
  <c r="V260"/>
  <c r="V259"/>
  <c r="V258"/>
  <c r="V257"/>
  <c r="V256"/>
  <c r="V255"/>
  <c r="V254"/>
  <c r="V253"/>
  <c r="V252"/>
  <c r="V251"/>
  <c r="V250"/>
  <c r="V249"/>
  <c r="V248"/>
  <c r="V247"/>
  <c r="V246"/>
  <c r="V244"/>
  <c r="V243"/>
  <c r="V242"/>
  <c r="V241"/>
  <c r="V240"/>
  <c r="V239"/>
  <c r="V238"/>
  <c r="V237"/>
  <c r="V235"/>
  <c r="V234"/>
  <c r="V233"/>
  <c r="V232"/>
  <c r="V231"/>
  <c r="V230"/>
  <c r="V229"/>
  <c r="V228"/>
  <c r="V227"/>
  <c r="V225"/>
  <c r="V224"/>
  <c r="V223"/>
  <c r="V222"/>
  <c r="V221"/>
  <c r="V220"/>
  <c r="V219"/>
  <c r="V218"/>
  <c r="V217"/>
  <c r="V216"/>
  <c r="V215"/>
  <c r="V214"/>
  <c r="V213"/>
  <c r="V211"/>
  <c r="V210"/>
  <c r="V209"/>
  <c r="V208"/>
  <c r="V207"/>
  <c r="V206"/>
  <c r="V205"/>
  <c r="V204"/>
  <c r="V203"/>
  <c r="V202"/>
  <c r="V201"/>
  <c r="V200"/>
  <c r="V198"/>
  <c r="V197"/>
  <c r="V196"/>
  <c r="V195"/>
  <c r="V194"/>
  <c r="V193"/>
  <c r="V192"/>
  <c r="V191"/>
  <c r="V190"/>
  <c r="V189"/>
  <c r="V188"/>
  <c r="V187"/>
  <c r="V186"/>
  <c r="V184"/>
  <c r="V183"/>
  <c r="V182"/>
  <c r="V181"/>
  <c r="V180"/>
  <c r="V179"/>
  <c r="V178"/>
  <c r="V177"/>
  <c r="V176"/>
  <c r="V175"/>
  <c r="V174"/>
  <c r="V172"/>
  <c r="V171"/>
  <c r="V170"/>
  <c r="V169"/>
  <c r="V168"/>
  <c r="V167"/>
  <c r="V166"/>
  <c r="V165"/>
  <c r="V164"/>
  <c r="V163"/>
  <c r="V162"/>
  <c r="V161"/>
  <c r="V160"/>
  <c r="V158"/>
  <c r="V157"/>
  <c r="V156"/>
  <c r="V155"/>
  <c r="V154"/>
  <c r="V153"/>
  <c r="V152"/>
  <c r="V151"/>
  <c r="V150"/>
  <c r="V149"/>
  <c r="V148"/>
  <c r="V147"/>
  <c r="V145"/>
  <c r="V144"/>
  <c r="V143"/>
  <c r="V142"/>
  <c r="V141"/>
  <c r="V140"/>
  <c r="V138"/>
  <c r="V137"/>
  <c r="V136"/>
  <c r="V135"/>
  <c r="V134"/>
  <c r="V133"/>
  <c r="V132"/>
  <c r="V131"/>
  <c r="V130"/>
  <c r="V128"/>
  <c r="V127"/>
  <c r="V126"/>
  <c r="V125"/>
  <c r="V124"/>
  <c r="V123"/>
  <c r="V122"/>
  <c r="V120"/>
  <c r="V119"/>
  <c r="V118"/>
  <c r="V117"/>
  <c r="V116"/>
  <c r="V115"/>
  <c r="V114"/>
  <c r="V113"/>
  <c r="V112"/>
  <c r="V111"/>
  <c r="V110"/>
  <c r="V109"/>
  <c r="V108"/>
  <c r="V107"/>
  <c r="V106"/>
  <c r="V104"/>
  <c r="V103"/>
  <c r="V102"/>
  <c r="V101"/>
  <c r="V100"/>
  <c r="V99"/>
  <c r="V98"/>
  <c r="V97"/>
  <c r="V96"/>
  <c r="V95"/>
  <c r="V94"/>
  <c r="V93"/>
  <c r="V92"/>
  <c r="V90"/>
  <c r="V89"/>
  <c r="V88"/>
  <c r="V87"/>
  <c r="V86"/>
  <c r="V85"/>
  <c r="V84"/>
  <c r="V83"/>
  <c r="V82"/>
  <c r="V80"/>
  <c r="V79"/>
  <c r="V78"/>
  <c r="V77"/>
  <c r="V76"/>
  <c r="V75"/>
  <c r="V74"/>
  <c r="V73"/>
  <c r="V71"/>
  <c r="V70"/>
  <c r="V69"/>
  <c r="V68"/>
  <c r="V67"/>
  <c r="V65"/>
  <c r="V64"/>
  <c r="V63"/>
  <c r="V62"/>
  <c r="V61"/>
  <c r="V60"/>
  <c r="V59"/>
  <c r="V58"/>
  <c r="V57"/>
  <c r="V56"/>
  <c r="V55"/>
  <c r="V54"/>
  <c r="V53"/>
  <c r="V51"/>
  <c r="V50"/>
  <c r="V49"/>
  <c r="V48"/>
  <c r="V47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Z377"/>
  <c r="V377"/>
  <c r="Z17"/>
  <c r="V17"/>
  <c r="P377"/>
  <c r="P376"/>
  <c r="P375"/>
  <c r="P374"/>
  <c r="P373"/>
  <c r="P372"/>
  <c r="P371"/>
  <c r="P370"/>
  <c r="P369"/>
  <c r="P368"/>
  <c r="P367"/>
  <c r="P366"/>
  <c r="P365"/>
  <c r="P363"/>
  <c r="P362"/>
  <c r="P361"/>
  <c r="P360"/>
  <c r="P359"/>
  <c r="P358"/>
  <c r="P357"/>
  <c r="P356"/>
  <c r="P355"/>
  <c r="P354"/>
  <c r="P353"/>
  <c r="P351"/>
  <c r="P350"/>
  <c r="P349"/>
  <c r="P348"/>
  <c r="P347"/>
  <c r="P346"/>
  <c r="P345"/>
  <c r="P344"/>
  <c r="P343"/>
  <c r="P342"/>
  <c r="P341"/>
  <c r="P339"/>
  <c r="P338"/>
  <c r="P337"/>
  <c r="P336"/>
  <c r="P335"/>
  <c r="P334"/>
  <c r="P333"/>
  <c r="P332"/>
  <c r="P331"/>
  <c r="P330"/>
  <c r="P329"/>
  <c r="P327"/>
  <c r="P326"/>
  <c r="P325"/>
  <c r="P324"/>
  <c r="P323"/>
  <c r="P322"/>
  <c r="P321"/>
  <c r="P320"/>
  <c r="P319"/>
  <c r="P318"/>
  <c r="P317"/>
  <c r="P316"/>
  <c r="P315"/>
  <c r="P314"/>
  <c r="P313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8"/>
  <c r="P267"/>
  <c r="P266"/>
  <c r="P265"/>
  <c r="P264"/>
  <c r="P263"/>
  <c r="P262"/>
  <c r="P260"/>
  <c r="P259"/>
  <c r="P258"/>
  <c r="P257"/>
  <c r="P256"/>
  <c r="P255"/>
  <c r="P254"/>
  <c r="P253"/>
  <c r="P252"/>
  <c r="P251"/>
  <c r="P250"/>
  <c r="P249"/>
  <c r="P248"/>
  <c r="P247"/>
  <c r="P246"/>
  <c r="P244"/>
  <c r="P243"/>
  <c r="P242"/>
  <c r="P241"/>
  <c r="P240"/>
  <c r="P239"/>
  <c r="P238"/>
  <c r="P237"/>
  <c r="P235"/>
  <c r="P234"/>
  <c r="P233"/>
  <c r="P232"/>
  <c r="P231"/>
  <c r="P230"/>
  <c r="P229"/>
  <c r="P228"/>
  <c r="P227"/>
  <c r="P225"/>
  <c r="P224"/>
  <c r="P223"/>
  <c r="P222"/>
  <c r="P221"/>
  <c r="P220"/>
  <c r="P219"/>
  <c r="P218"/>
  <c r="P217"/>
  <c r="P216"/>
  <c r="P215"/>
  <c r="P214"/>
  <c r="P213"/>
  <c r="P211"/>
  <c r="P210"/>
  <c r="P209"/>
  <c r="P208"/>
  <c r="P207"/>
  <c r="P206"/>
  <c r="P205"/>
  <c r="P204"/>
  <c r="P203"/>
  <c r="P202"/>
  <c r="P201"/>
  <c r="P200"/>
  <c r="P198"/>
  <c r="P197"/>
  <c r="P196"/>
  <c r="P195"/>
  <c r="P194"/>
  <c r="P193"/>
  <c r="P192"/>
  <c r="P191"/>
  <c r="P190"/>
  <c r="P189"/>
  <c r="P188"/>
  <c r="P187"/>
  <c r="P186"/>
  <c r="P184"/>
  <c r="P183"/>
  <c r="P182"/>
  <c r="P181"/>
  <c r="P180"/>
  <c r="P179"/>
  <c r="P178"/>
  <c r="P177"/>
  <c r="P176"/>
  <c r="P175"/>
  <c r="P174"/>
  <c r="P172"/>
  <c r="P171"/>
  <c r="P170"/>
  <c r="P169"/>
  <c r="P168"/>
  <c r="P167"/>
  <c r="P166"/>
  <c r="P165"/>
  <c r="P164"/>
  <c r="P163"/>
  <c r="P162"/>
  <c r="P161"/>
  <c r="P160"/>
  <c r="P158"/>
  <c r="P157"/>
  <c r="P156"/>
  <c r="P155"/>
  <c r="P154"/>
  <c r="P153"/>
  <c r="P152"/>
  <c r="P151"/>
  <c r="P150"/>
  <c r="P149"/>
  <c r="P148"/>
  <c r="P147"/>
  <c r="P145"/>
  <c r="P144"/>
  <c r="P143"/>
  <c r="P142"/>
  <c r="P141"/>
  <c r="P140"/>
  <c r="P138"/>
  <c r="P137"/>
  <c r="P136"/>
  <c r="P135"/>
  <c r="P134"/>
  <c r="P133"/>
  <c r="P132"/>
  <c r="P131"/>
  <c r="P130"/>
  <c r="P128"/>
  <c r="P127"/>
  <c r="P126"/>
  <c r="P125"/>
  <c r="P124"/>
  <c r="P123"/>
  <c r="P122"/>
  <c r="P120"/>
  <c r="P119"/>
  <c r="P118"/>
  <c r="P117"/>
  <c r="P116"/>
  <c r="P115"/>
  <c r="P114"/>
  <c r="P113"/>
  <c r="P112"/>
  <c r="P111"/>
  <c r="P110"/>
  <c r="P109"/>
  <c r="AB109" s="1"/>
  <c r="AC109" s="1"/>
  <c r="P108"/>
  <c r="P107"/>
  <c r="P106"/>
  <c r="P104"/>
  <c r="P103"/>
  <c r="P102"/>
  <c r="P101"/>
  <c r="P100"/>
  <c r="P99"/>
  <c r="P98"/>
  <c r="P97"/>
  <c r="P96"/>
  <c r="P95"/>
  <c r="P94"/>
  <c r="P93"/>
  <c r="P92"/>
  <c r="P90"/>
  <c r="P89"/>
  <c r="P88"/>
  <c r="P87"/>
  <c r="P86"/>
  <c r="P85"/>
  <c r="P84"/>
  <c r="P83"/>
  <c r="P82"/>
  <c r="P80"/>
  <c r="P79"/>
  <c r="P78"/>
  <c r="P77"/>
  <c r="P76"/>
  <c r="P75"/>
  <c r="P74"/>
  <c r="P73"/>
  <c r="P71"/>
  <c r="P70"/>
  <c r="P69"/>
  <c r="P68"/>
  <c r="P67"/>
  <c r="P65"/>
  <c r="P64"/>
  <c r="P63"/>
  <c r="P62"/>
  <c r="P61"/>
  <c r="P60"/>
  <c r="P59"/>
  <c r="P58"/>
  <c r="P57"/>
  <c r="P56"/>
  <c r="P55"/>
  <c r="P54"/>
  <c r="P53"/>
  <c r="P51"/>
  <c r="P50"/>
  <c r="P49"/>
  <c r="P48"/>
  <c r="P47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5"/>
  <c r="P14"/>
  <c r="P13"/>
  <c r="P12"/>
  <c r="P11"/>
  <c r="P10"/>
  <c r="P9"/>
  <c r="P8"/>
  <c r="P7"/>
  <c r="P6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8"/>
  <c r="L7"/>
  <c r="D376"/>
  <c r="D377"/>
  <c r="D375"/>
  <c r="D374"/>
  <c r="D373"/>
  <c r="D372"/>
  <c r="D371"/>
  <c r="D370"/>
  <c r="D369"/>
  <c r="D368"/>
  <c r="D367"/>
  <c r="D366"/>
  <c r="D365"/>
  <c r="D363"/>
  <c r="D362"/>
  <c r="D361"/>
  <c r="D360"/>
  <c r="D359"/>
  <c r="D358"/>
  <c r="D357"/>
  <c r="D356"/>
  <c r="D355"/>
  <c r="D354"/>
  <c r="D353"/>
  <c r="D351"/>
  <c r="D350"/>
  <c r="D349"/>
  <c r="D348"/>
  <c r="D347"/>
  <c r="D346"/>
  <c r="D345"/>
  <c r="D344"/>
  <c r="D343"/>
  <c r="D342"/>
  <c r="D341"/>
  <c r="D339"/>
  <c r="D338"/>
  <c r="D337"/>
  <c r="D336"/>
  <c r="D335"/>
  <c r="D334"/>
  <c r="D333"/>
  <c r="D332"/>
  <c r="D331"/>
  <c r="D330"/>
  <c r="D329"/>
  <c r="D327"/>
  <c r="D326"/>
  <c r="D325"/>
  <c r="D324"/>
  <c r="D323"/>
  <c r="D322"/>
  <c r="D321"/>
  <c r="D320"/>
  <c r="D319"/>
  <c r="D318"/>
  <c r="D317"/>
  <c r="D316"/>
  <c r="D315"/>
  <c r="D314"/>
  <c r="D313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8"/>
  <c r="D267"/>
  <c r="D266"/>
  <c r="D265"/>
  <c r="D264"/>
  <c r="D263"/>
  <c r="D262"/>
  <c r="D260"/>
  <c r="D259"/>
  <c r="D258"/>
  <c r="D257"/>
  <c r="D256"/>
  <c r="D255"/>
  <c r="D254"/>
  <c r="D253"/>
  <c r="D252"/>
  <c r="D251"/>
  <c r="D250"/>
  <c r="D249"/>
  <c r="D248"/>
  <c r="D247"/>
  <c r="D246"/>
  <c r="D244"/>
  <c r="D243"/>
  <c r="D242"/>
  <c r="D241"/>
  <c r="D240"/>
  <c r="D239"/>
  <c r="D238"/>
  <c r="D237"/>
  <c r="D235"/>
  <c r="D234"/>
  <c r="D233"/>
  <c r="D232"/>
  <c r="D231"/>
  <c r="D230"/>
  <c r="D229"/>
  <c r="D228"/>
  <c r="D227"/>
  <c r="D225"/>
  <c r="D224"/>
  <c r="D223"/>
  <c r="D222"/>
  <c r="D221"/>
  <c r="D220"/>
  <c r="D219"/>
  <c r="D218"/>
  <c r="D217"/>
  <c r="D216"/>
  <c r="D215"/>
  <c r="D214"/>
  <c r="D213"/>
  <c r="D211"/>
  <c r="D210"/>
  <c r="D209"/>
  <c r="D208"/>
  <c r="D207"/>
  <c r="D206"/>
  <c r="D205"/>
  <c r="D204"/>
  <c r="D203"/>
  <c r="D202"/>
  <c r="D201"/>
  <c r="D200"/>
  <c r="D198"/>
  <c r="D197"/>
  <c r="D196"/>
  <c r="D195"/>
  <c r="D194"/>
  <c r="D193"/>
  <c r="D192"/>
  <c r="D191"/>
  <c r="D190"/>
  <c r="D189"/>
  <c r="D188"/>
  <c r="D187"/>
  <c r="D186"/>
  <c r="D184"/>
  <c r="D183"/>
  <c r="D182"/>
  <c r="D181"/>
  <c r="D180"/>
  <c r="D179"/>
  <c r="D178"/>
  <c r="D177"/>
  <c r="D176"/>
  <c r="D175"/>
  <c r="D174"/>
  <c r="D172"/>
  <c r="D171"/>
  <c r="D170"/>
  <c r="D169"/>
  <c r="D168"/>
  <c r="D167"/>
  <c r="D166"/>
  <c r="D165"/>
  <c r="D164"/>
  <c r="D163"/>
  <c r="D162"/>
  <c r="D161"/>
  <c r="D160"/>
  <c r="D158"/>
  <c r="D157"/>
  <c r="D156"/>
  <c r="D155"/>
  <c r="D154"/>
  <c r="D153"/>
  <c r="D152"/>
  <c r="D151"/>
  <c r="D150"/>
  <c r="D149"/>
  <c r="D148"/>
  <c r="D147"/>
  <c r="D145"/>
  <c r="D144"/>
  <c r="D143"/>
  <c r="D142"/>
  <c r="D141"/>
  <c r="D140"/>
  <c r="D138"/>
  <c r="D137"/>
  <c r="D136"/>
  <c r="D135"/>
  <c r="D134"/>
  <c r="D133"/>
  <c r="D132"/>
  <c r="D131"/>
  <c r="D130"/>
  <c r="D128"/>
  <c r="D127"/>
  <c r="D126"/>
  <c r="D125"/>
  <c r="D124"/>
  <c r="D123"/>
  <c r="D122"/>
  <c r="D120"/>
  <c r="D119"/>
  <c r="D118"/>
  <c r="D117"/>
  <c r="D116"/>
  <c r="D115"/>
  <c r="D114"/>
  <c r="D113"/>
  <c r="D112"/>
  <c r="D111"/>
  <c r="D110"/>
  <c r="D109"/>
  <c r="D108"/>
  <c r="D107"/>
  <c r="D106"/>
  <c r="D104"/>
  <c r="D103"/>
  <c r="D102"/>
  <c r="D101"/>
  <c r="D100"/>
  <c r="D99"/>
  <c r="D98"/>
  <c r="D97"/>
  <c r="D96"/>
  <c r="D95"/>
  <c r="D94"/>
  <c r="D93"/>
  <c r="D92"/>
  <c r="D90"/>
  <c r="D89"/>
  <c r="D88"/>
  <c r="D87"/>
  <c r="D86"/>
  <c r="D85"/>
  <c r="D84"/>
  <c r="D83"/>
  <c r="D82"/>
  <c r="D80"/>
  <c r="D79"/>
  <c r="D78"/>
  <c r="D77"/>
  <c r="D76"/>
  <c r="D75"/>
  <c r="D74"/>
  <c r="D73"/>
  <c r="D71"/>
  <c r="D70"/>
  <c r="D69"/>
  <c r="D68"/>
  <c r="D67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6"/>
  <c r="D15"/>
  <c r="D14"/>
  <c r="D13"/>
  <c r="D12"/>
  <c r="D11"/>
  <c r="D10"/>
  <c r="D9"/>
  <c r="D8"/>
  <c r="D7"/>
  <c r="D6"/>
  <c r="AE376" l="1"/>
  <c r="AE375"/>
  <c r="AE374"/>
  <c r="AE373"/>
  <c r="AE372"/>
  <c r="AE371"/>
  <c r="AE370"/>
  <c r="AE369"/>
  <c r="AE368"/>
  <c r="AE367"/>
  <c r="AE366"/>
  <c r="AE365"/>
  <c r="AE363"/>
  <c r="AE362"/>
  <c r="AE361"/>
  <c r="AE360"/>
  <c r="AE359"/>
  <c r="AE358"/>
  <c r="AE357"/>
  <c r="AE356"/>
  <c r="AE355"/>
  <c r="AE354"/>
  <c r="AE353"/>
  <c r="AE351"/>
  <c r="AE350"/>
  <c r="AE349"/>
  <c r="AE348"/>
  <c r="AE347"/>
  <c r="AE346"/>
  <c r="AE345"/>
  <c r="AE344"/>
  <c r="AE343"/>
  <c r="AE342"/>
  <c r="AE341"/>
  <c r="AE339"/>
  <c r="AE338"/>
  <c r="AE337"/>
  <c r="AE336"/>
  <c r="AE335"/>
  <c r="AE334"/>
  <c r="AE333"/>
  <c r="AE332"/>
  <c r="AE331"/>
  <c r="AE330"/>
  <c r="AE329"/>
  <c r="AE327"/>
  <c r="AE326"/>
  <c r="AE325"/>
  <c r="AE324"/>
  <c r="AE323"/>
  <c r="AE322"/>
  <c r="AE321"/>
  <c r="AE320"/>
  <c r="AE319"/>
  <c r="AE318"/>
  <c r="AE317"/>
  <c r="AE316"/>
  <c r="AE315"/>
  <c r="AE314"/>
  <c r="AE313"/>
  <c r="AE311"/>
  <c r="AE310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90"/>
  <c r="AE289"/>
  <c r="AE288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8"/>
  <c r="AE267"/>
  <c r="AE266"/>
  <c r="AE265"/>
  <c r="AE264"/>
  <c r="AE263"/>
  <c r="AE262"/>
  <c r="AE260"/>
  <c r="AE259"/>
  <c r="AE258"/>
  <c r="AE257"/>
  <c r="AE256"/>
  <c r="AE255"/>
  <c r="AE254"/>
  <c r="AE253"/>
  <c r="AE252"/>
  <c r="AE251"/>
  <c r="AE250"/>
  <c r="AE249"/>
  <c r="AE248"/>
  <c r="AE247"/>
  <c r="AE246"/>
  <c r="AE244"/>
  <c r="AE243"/>
  <c r="AE242"/>
  <c r="AE241"/>
  <c r="AE240"/>
  <c r="AE239"/>
  <c r="AE238"/>
  <c r="AE237"/>
  <c r="AE235"/>
  <c r="AE234"/>
  <c r="AE233"/>
  <c r="AE232"/>
  <c r="AE231"/>
  <c r="AE230"/>
  <c r="AE229"/>
  <c r="AE228"/>
  <c r="AE227"/>
  <c r="AE225"/>
  <c r="AE224"/>
  <c r="AE223"/>
  <c r="AE222"/>
  <c r="AE221"/>
  <c r="AE220"/>
  <c r="AE219"/>
  <c r="AE218"/>
  <c r="AE217"/>
  <c r="AE216"/>
  <c r="AE215"/>
  <c r="AE214"/>
  <c r="AE213"/>
  <c r="AE211"/>
  <c r="AE210"/>
  <c r="AE209"/>
  <c r="AE208"/>
  <c r="AE207"/>
  <c r="AE206"/>
  <c r="AE205"/>
  <c r="AE204"/>
  <c r="AE203"/>
  <c r="AE202"/>
  <c r="AE201"/>
  <c r="AE200"/>
  <c r="AE198"/>
  <c r="AE197"/>
  <c r="AE196"/>
  <c r="AE195"/>
  <c r="AE194"/>
  <c r="AE193"/>
  <c r="AE192"/>
  <c r="AE191"/>
  <c r="AE190"/>
  <c r="AE189"/>
  <c r="AE188"/>
  <c r="AE187"/>
  <c r="AE186"/>
  <c r="AE184"/>
  <c r="AE183"/>
  <c r="AE182"/>
  <c r="AE181"/>
  <c r="AE180"/>
  <c r="AE179"/>
  <c r="AE178"/>
  <c r="AE177"/>
  <c r="AE176"/>
  <c r="AE175"/>
  <c r="AE174"/>
  <c r="AE172"/>
  <c r="AE171"/>
  <c r="AE170"/>
  <c r="AE169"/>
  <c r="AE168"/>
  <c r="AE167"/>
  <c r="AE166"/>
  <c r="AE165"/>
  <c r="AE164"/>
  <c r="AE163"/>
  <c r="AE162"/>
  <c r="AE161"/>
  <c r="AE160"/>
  <c r="AE158"/>
  <c r="AE157"/>
  <c r="AE156"/>
  <c r="AE155"/>
  <c r="AE154"/>
  <c r="AE153"/>
  <c r="AE152"/>
  <c r="AE151"/>
  <c r="AE150"/>
  <c r="AE149"/>
  <c r="AE148"/>
  <c r="AE147"/>
  <c r="AE145"/>
  <c r="AE144"/>
  <c r="AE143"/>
  <c r="AE142"/>
  <c r="AE141"/>
  <c r="AE140"/>
  <c r="AE138"/>
  <c r="AE137"/>
  <c r="AE136"/>
  <c r="AE135"/>
  <c r="AE134"/>
  <c r="AE133"/>
  <c r="AE132"/>
  <c r="AE131"/>
  <c r="AE130"/>
  <c r="AE128"/>
  <c r="AE127"/>
  <c r="AE126"/>
  <c r="AE125"/>
  <c r="AE124"/>
  <c r="AE123"/>
  <c r="AE122"/>
  <c r="AE120"/>
  <c r="AE119"/>
  <c r="AE118"/>
  <c r="AE117"/>
  <c r="AE116"/>
  <c r="AE115"/>
  <c r="AE114"/>
  <c r="AE113"/>
  <c r="AE112"/>
  <c r="AE111"/>
  <c r="AE110"/>
  <c r="AE109"/>
  <c r="AE108"/>
  <c r="AE107"/>
  <c r="AE106"/>
  <c r="AE104"/>
  <c r="AE103"/>
  <c r="AE102"/>
  <c r="AE101"/>
  <c r="AE100"/>
  <c r="AE99"/>
  <c r="AE98"/>
  <c r="AE97"/>
  <c r="AE96"/>
  <c r="AE95"/>
  <c r="AE94"/>
  <c r="AE93"/>
  <c r="AE92"/>
  <c r="AE90"/>
  <c r="AE89"/>
  <c r="AE88"/>
  <c r="AE87"/>
  <c r="AE86"/>
  <c r="AE85"/>
  <c r="AE84"/>
  <c r="AE83"/>
  <c r="AE82"/>
  <c r="AE80"/>
  <c r="AE79"/>
  <c r="AE78"/>
  <c r="AE77"/>
  <c r="AE76"/>
  <c r="AE75"/>
  <c r="AE74"/>
  <c r="AE73"/>
  <c r="AE71"/>
  <c r="AE70"/>
  <c r="AE69"/>
  <c r="AE68"/>
  <c r="AE67"/>
  <c r="AE65"/>
  <c r="AE64"/>
  <c r="AE63"/>
  <c r="AE62"/>
  <c r="AE61"/>
  <c r="AE60"/>
  <c r="AE59"/>
  <c r="AE58"/>
  <c r="AE57"/>
  <c r="AE56"/>
  <c r="AE55"/>
  <c r="AE54"/>
  <c r="AE53"/>
  <c r="AE51"/>
  <c r="AE50"/>
  <c r="AE49"/>
  <c r="AE48"/>
  <c r="AE47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6"/>
  <c r="AE15"/>
  <c r="AE14"/>
  <c r="AE13"/>
  <c r="AE12"/>
  <c r="AE11"/>
  <c r="AE10"/>
  <c r="AE9"/>
  <c r="AE8"/>
  <c r="AE7"/>
  <c r="O376" i="8" l="1"/>
  <c r="P376" s="1"/>
  <c r="O375"/>
  <c r="P375" s="1"/>
  <c r="O374"/>
  <c r="P374" s="1"/>
  <c r="O373"/>
  <c r="P373" s="1"/>
  <c r="O372"/>
  <c r="P372" s="1"/>
  <c r="O371"/>
  <c r="P371" s="1"/>
  <c r="O370"/>
  <c r="P370" s="1"/>
  <c r="O369"/>
  <c r="P369" s="1"/>
  <c r="O368"/>
  <c r="P368" s="1"/>
  <c r="O367"/>
  <c r="P367" s="1"/>
  <c r="O366"/>
  <c r="P366" s="1"/>
  <c r="O365"/>
  <c r="P365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6"/>
  <c r="P356" s="1"/>
  <c r="O355"/>
  <c r="P355" s="1"/>
  <c r="O354"/>
  <c r="P354" s="1"/>
  <c r="O353"/>
  <c r="P353" s="1"/>
  <c r="O351"/>
  <c r="P351" s="1"/>
  <c r="O350"/>
  <c r="P350" s="1"/>
  <c r="O349"/>
  <c r="P349" s="1"/>
  <c r="O348"/>
  <c r="P348" s="1"/>
  <c r="O347"/>
  <c r="P347" s="1"/>
  <c r="O346"/>
  <c r="P346" s="1"/>
  <c r="O345"/>
  <c r="P345" s="1"/>
  <c r="O344"/>
  <c r="P344" s="1"/>
  <c r="O343"/>
  <c r="P343" s="1"/>
  <c r="O342"/>
  <c r="P342" s="1"/>
  <c r="O341"/>
  <c r="P341" s="1"/>
  <c r="O339"/>
  <c r="P339" s="1"/>
  <c r="O338"/>
  <c r="P338" s="1"/>
  <c r="O337"/>
  <c r="P337" s="1"/>
  <c r="O336"/>
  <c r="P336" s="1"/>
  <c r="O335"/>
  <c r="P335" s="1"/>
  <c r="O334"/>
  <c r="P334" s="1"/>
  <c r="O333"/>
  <c r="P333" s="1"/>
  <c r="O332"/>
  <c r="P332" s="1"/>
  <c r="O331"/>
  <c r="P331" s="1"/>
  <c r="O330"/>
  <c r="P330" s="1"/>
  <c r="O329"/>
  <c r="P329" s="1"/>
  <c r="O327"/>
  <c r="P327" s="1"/>
  <c r="O326"/>
  <c r="P326" s="1"/>
  <c r="O325"/>
  <c r="P325" s="1"/>
  <c r="O324"/>
  <c r="P324" s="1"/>
  <c r="O323"/>
  <c r="P323" s="1"/>
  <c r="O322"/>
  <c r="P322" s="1"/>
  <c r="O321"/>
  <c r="P321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1"/>
  <c r="P311" s="1"/>
  <c r="O310"/>
  <c r="P310" s="1"/>
  <c r="O309"/>
  <c r="P309" s="1"/>
  <c r="O308"/>
  <c r="P308" s="1"/>
  <c r="O307"/>
  <c r="P307" s="1"/>
  <c r="O306"/>
  <c r="P306" s="1"/>
  <c r="O305"/>
  <c r="P305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6"/>
  <c r="P286" s="1"/>
  <c r="O285"/>
  <c r="P285" s="1"/>
  <c r="O284"/>
  <c r="P284" s="1"/>
  <c r="O283"/>
  <c r="P283" s="1"/>
  <c r="O282"/>
  <c r="P282" s="1"/>
  <c r="O281"/>
  <c r="P281" s="1"/>
  <c r="O280"/>
  <c r="P280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8"/>
  <c r="P268" s="1"/>
  <c r="O267"/>
  <c r="P267" s="1"/>
  <c r="O266"/>
  <c r="P266" s="1"/>
  <c r="O265"/>
  <c r="P265" s="1"/>
  <c r="O264"/>
  <c r="P264" s="1"/>
  <c r="O263"/>
  <c r="P263" s="1"/>
  <c r="O262"/>
  <c r="P262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4"/>
  <c r="P244" s="1"/>
  <c r="O243"/>
  <c r="P243" s="1"/>
  <c r="O242"/>
  <c r="P242" s="1"/>
  <c r="O241"/>
  <c r="P241" s="1"/>
  <c r="O240"/>
  <c r="P240" s="1"/>
  <c r="O239"/>
  <c r="P239" s="1"/>
  <c r="O238"/>
  <c r="P238" s="1"/>
  <c r="O237"/>
  <c r="P237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5"/>
  <c r="P225" s="1"/>
  <c r="O224"/>
  <c r="P224" s="1"/>
  <c r="O223"/>
  <c r="P223" s="1"/>
  <c r="O222"/>
  <c r="P222" s="1"/>
  <c r="O221"/>
  <c r="P221" s="1"/>
  <c r="O220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03"/>
  <c r="P203" s="1"/>
  <c r="O202"/>
  <c r="P202" s="1"/>
  <c r="O201"/>
  <c r="P201" s="1"/>
  <c r="O200"/>
  <c r="P200" s="1"/>
  <c r="O198"/>
  <c r="P198" s="1"/>
  <c r="O197"/>
  <c r="P197" s="1"/>
  <c r="O196"/>
  <c r="P196" s="1"/>
  <c r="O195"/>
  <c r="P195" s="1"/>
  <c r="O194"/>
  <c r="P194" s="1"/>
  <c r="O193"/>
  <c r="P193" s="1"/>
  <c r="O192"/>
  <c r="P192" s="1"/>
  <c r="O191"/>
  <c r="P191" s="1"/>
  <c r="O190"/>
  <c r="P190" s="1"/>
  <c r="O189"/>
  <c r="P189" s="1"/>
  <c r="O188"/>
  <c r="P188" s="1"/>
  <c r="O187"/>
  <c r="P187" s="1"/>
  <c r="O186"/>
  <c r="P186" s="1"/>
  <c r="O184"/>
  <c r="P184" s="1"/>
  <c r="O183"/>
  <c r="P183" s="1"/>
  <c r="O182"/>
  <c r="P182" s="1"/>
  <c r="O181"/>
  <c r="P181" s="1"/>
  <c r="O180"/>
  <c r="P180" s="1"/>
  <c r="O179"/>
  <c r="P179" s="1"/>
  <c r="O178"/>
  <c r="P178" s="1"/>
  <c r="O177"/>
  <c r="P177" s="1"/>
  <c r="O176"/>
  <c r="P176" s="1"/>
  <c r="O175"/>
  <c r="P175" s="1"/>
  <c r="O174"/>
  <c r="P174" s="1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8"/>
  <c r="P158" s="1"/>
  <c r="O157"/>
  <c r="P157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5"/>
  <c r="P145" s="1"/>
  <c r="O144"/>
  <c r="P144" s="1"/>
  <c r="O143"/>
  <c r="P143" s="1"/>
  <c r="O142"/>
  <c r="P142" s="1"/>
  <c r="O141"/>
  <c r="P141" s="1"/>
  <c r="O140"/>
  <c r="P140" s="1"/>
  <c r="O138"/>
  <c r="P138" s="1"/>
  <c r="O137"/>
  <c r="P137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8"/>
  <c r="P128" s="1"/>
  <c r="O127"/>
  <c r="P127" s="1"/>
  <c r="O126"/>
  <c r="P126" s="1"/>
  <c r="O125"/>
  <c r="P125" s="1"/>
  <c r="O124"/>
  <c r="P124" s="1"/>
  <c r="O123"/>
  <c r="P123" s="1"/>
  <c r="O122"/>
  <c r="P122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4"/>
  <c r="P104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1"/>
  <c r="P71" s="1"/>
  <c r="O70"/>
  <c r="P70" s="1"/>
  <c r="O69"/>
  <c r="P69" s="1"/>
  <c r="O68"/>
  <c r="P68" s="1"/>
  <c r="O67"/>
  <c r="P67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AJ17" i="7" l="1"/>
  <c r="AJ6"/>
  <c r="AH45"/>
  <c r="AH17"/>
  <c r="AH6"/>
  <c r="AH377" l="1"/>
  <c r="AD45" l="1"/>
  <c r="AD17"/>
  <c r="AD6"/>
  <c r="AE6" l="1"/>
  <c r="AE45"/>
  <c r="AE17"/>
  <c r="AD377"/>
  <c r="AE377" l="1"/>
  <c r="I7" i="8" l="1"/>
  <c r="J7" s="1"/>
  <c r="U376"/>
  <c r="V376" s="1"/>
  <c r="U375"/>
  <c r="V375" s="1"/>
  <c r="U374"/>
  <c r="V374" s="1"/>
  <c r="U373"/>
  <c r="V373" s="1"/>
  <c r="U372"/>
  <c r="V372" s="1"/>
  <c r="U371"/>
  <c r="V371" s="1"/>
  <c r="U370"/>
  <c r="V370" s="1"/>
  <c r="U369"/>
  <c r="V369" s="1"/>
  <c r="U368"/>
  <c r="V368" s="1"/>
  <c r="U367"/>
  <c r="V367" s="1"/>
  <c r="U366"/>
  <c r="V366" s="1"/>
  <c r="U365"/>
  <c r="V365" s="1"/>
  <c r="U363"/>
  <c r="V363" s="1"/>
  <c r="U362"/>
  <c r="V362" s="1"/>
  <c r="U361"/>
  <c r="V361" s="1"/>
  <c r="U360"/>
  <c r="V360" s="1"/>
  <c r="U359"/>
  <c r="V359" s="1"/>
  <c r="U358"/>
  <c r="V358" s="1"/>
  <c r="U357"/>
  <c r="V357" s="1"/>
  <c r="U356"/>
  <c r="V356" s="1"/>
  <c r="U355"/>
  <c r="V355" s="1"/>
  <c r="U354"/>
  <c r="V354" s="1"/>
  <c r="U353"/>
  <c r="V353" s="1"/>
  <c r="U351"/>
  <c r="V351" s="1"/>
  <c r="U350"/>
  <c r="V350" s="1"/>
  <c r="U349"/>
  <c r="V349" s="1"/>
  <c r="U348"/>
  <c r="V348" s="1"/>
  <c r="U347"/>
  <c r="V347" s="1"/>
  <c r="U346"/>
  <c r="V346" s="1"/>
  <c r="U345"/>
  <c r="V345" s="1"/>
  <c r="U344"/>
  <c r="V344" s="1"/>
  <c r="U343"/>
  <c r="V343" s="1"/>
  <c r="U342"/>
  <c r="V342" s="1"/>
  <c r="U341"/>
  <c r="V341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1"/>
  <c r="V331" s="1"/>
  <c r="U330"/>
  <c r="V330" s="1"/>
  <c r="U329"/>
  <c r="V329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17"/>
  <c r="V317" s="1"/>
  <c r="U316"/>
  <c r="V316" s="1"/>
  <c r="U315"/>
  <c r="V315" s="1"/>
  <c r="U314"/>
  <c r="V314" s="1"/>
  <c r="U313"/>
  <c r="V313" s="1"/>
  <c r="U311"/>
  <c r="V311" s="1"/>
  <c r="U310"/>
  <c r="V310" s="1"/>
  <c r="U309"/>
  <c r="V309" s="1"/>
  <c r="U308"/>
  <c r="V308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U288"/>
  <c r="V288" s="1"/>
  <c r="U286"/>
  <c r="V286" s="1"/>
  <c r="U285"/>
  <c r="V285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U247"/>
  <c r="V247" s="1"/>
  <c r="U246"/>
  <c r="V246" s="1"/>
  <c r="U244"/>
  <c r="V244" s="1"/>
  <c r="U243"/>
  <c r="V243" s="1"/>
  <c r="U242"/>
  <c r="V242" s="1"/>
  <c r="U241"/>
  <c r="V241" s="1"/>
  <c r="U240"/>
  <c r="V240" s="1"/>
  <c r="U239"/>
  <c r="V239" s="1"/>
  <c r="U238"/>
  <c r="V238" s="1"/>
  <c r="U237"/>
  <c r="V237" s="1"/>
  <c r="U235"/>
  <c r="V235" s="1"/>
  <c r="U234"/>
  <c r="V234" s="1"/>
  <c r="U233"/>
  <c r="V233" s="1"/>
  <c r="U232"/>
  <c r="V232" s="1"/>
  <c r="U231"/>
  <c r="V231" s="1"/>
  <c r="U230"/>
  <c r="V230" s="1"/>
  <c r="U229"/>
  <c r="V229" s="1"/>
  <c r="U228"/>
  <c r="V228" s="1"/>
  <c r="U227"/>
  <c r="V227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5"/>
  <c r="V215" s="1"/>
  <c r="U214"/>
  <c r="V214" s="1"/>
  <c r="U213"/>
  <c r="V213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U191"/>
  <c r="V191" s="1"/>
  <c r="U190"/>
  <c r="V190" s="1"/>
  <c r="U189"/>
  <c r="V189" s="1"/>
  <c r="U188"/>
  <c r="V188" s="1"/>
  <c r="U187"/>
  <c r="V187" s="1"/>
  <c r="U186"/>
  <c r="V186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2"/>
  <c r="V172" s="1"/>
  <c r="U171"/>
  <c r="V171" s="1"/>
  <c r="U170"/>
  <c r="V170" s="1"/>
  <c r="U169"/>
  <c r="V169" s="1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151"/>
  <c r="V151" s="1"/>
  <c r="U150"/>
  <c r="V150" s="1"/>
  <c r="U149"/>
  <c r="V149" s="1"/>
  <c r="U148"/>
  <c r="V148" s="1"/>
  <c r="U147"/>
  <c r="V147" s="1"/>
  <c r="U145"/>
  <c r="V145" s="1"/>
  <c r="U144"/>
  <c r="V144" s="1"/>
  <c r="U143"/>
  <c r="V143" s="1"/>
  <c r="U142"/>
  <c r="V142" s="1"/>
  <c r="U141"/>
  <c r="V141" s="1"/>
  <c r="U140"/>
  <c r="V140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0"/>
  <c r="V90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0"/>
  <c r="V80" s="1"/>
  <c r="U79"/>
  <c r="V79" s="1"/>
  <c r="U78"/>
  <c r="V78" s="1"/>
  <c r="U77"/>
  <c r="V77" s="1"/>
  <c r="U76"/>
  <c r="V76" s="1"/>
  <c r="U75"/>
  <c r="V75" s="1"/>
  <c r="U74"/>
  <c r="V74" s="1"/>
  <c r="U73"/>
  <c r="V73" s="1"/>
  <c r="U71"/>
  <c r="V71" s="1"/>
  <c r="U70"/>
  <c r="V70" s="1"/>
  <c r="U69"/>
  <c r="V69" s="1"/>
  <c r="U68"/>
  <c r="V68" s="1"/>
  <c r="U67"/>
  <c r="V67" s="1"/>
  <c r="U65"/>
  <c r="V65" s="1"/>
  <c r="U64"/>
  <c r="V64" s="1"/>
  <c r="U63"/>
  <c r="V63" s="1"/>
  <c r="U62"/>
  <c r="V62" s="1"/>
  <c r="U61"/>
  <c r="V61" s="1"/>
  <c r="U60"/>
  <c r="V60" s="1"/>
  <c r="U59"/>
  <c r="V59" s="1"/>
  <c r="U58"/>
  <c r="V58" s="1"/>
  <c r="U57"/>
  <c r="V57" s="1"/>
  <c r="U56"/>
  <c r="V56" s="1"/>
  <c r="U55"/>
  <c r="V55" s="1"/>
  <c r="U54"/>
  <c r="V54" s="1"/>
  <c r="U53"/>
  <c r="V53" s="1"/>
  <c r="U51"/>
  <c r="V51" s="1"/>
  <c r="U50"/>
  <c r="V50" s="1"/>
  <c r="U49"/>
  <c r="V49" s="1"/>
  <c r="U48"/>
  <c r="V48" s="1"/>
  <c r="U47"/>
  <c r="V47" s="1"/>
  <c r="U44"/>
  <c r="V44" s="1"/>
  <c r="U43"/>
  <c r="V43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5"/>
  <c r="S145" s="1"/>
  <c r="R144"/>
  <c r="S144" s="1"/>
  <c r="R143"/>
  <c r="S143" s="1"/>
  <c r="R142"/>
  <c r="S142" s="1"/>
  <c r="R141"/>
  <c r="S141" s="1"/>
  <c r="R140"/>
  <c r="S140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1"/>
  <c r="S71" s="1"/>
  <c r="R70"/>
  <c r="S70" s="1"/>
  <c r="R69"/>
  <c r="S69" s="1"/>
  <c r="R68"/>
  <c r="S68" s="1"/>
  <c r="R67"/>
  <c r="S67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Y45" i="7"/>
  <c r="X45"/>
  <c r="U45"/>
  <c r="T45"/>
  <c r="Y17"/>
  <c r="Y377" s="1"/>
  <c r="X17"/>
  <c r="X377" s="1"/>
  <c r="U17"/>
  <c r="T17"/>
  <c r="T377" s="1"/>
  <c r="V45" l="1"/>
  <c r="Z45"/>
  <c r="U377"/>
  <c r="O45"/>
  <c r="N45"/>
  <c r="O17"/>
  <c r="N17"/>
  <c r="O6"/>
  <c r="O377" s="1"/>
  <c r="N6"/>
  <c r="N377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AF376" i="7"/>
  <c r="AI376" s="1"/>
  <c r="AF375"/>
  <c r="AI375" s="1"/>
  <c r="AF374"/>
  <c r="AI374" s="1"/>
  <c r="AF373"/>
  <c r="AI373" s="1"/>
  <c r="AF372"/>
  <c r="AI372" s="1"/>
  <c r="AF371"/>
  <c r="AI371" s="1"/>
  <c r="AF370"/>
  <c r="AI370" s="1"/>
  <c r="AF369"/>
  <c r="AI369" s="1"/>
  <c r="AF368"/>
  <c r="AI368" s="1"/>
  <c r="AF367"/>
  <c r="AI367" s="1"/>
  <c r="AF366"/>
  <c r="AI366" s="1"/>
  <c r="AF365"/>
  <c r="AI365" s="1"/>
  <c r="AF363"/>
  <c r="AI363" s="1"/>
  <c r="AF362"/>
  <c r="AI362" s="1"/>
  <c r="AF361"/>
  <c r="AI361" s="1"/>
  <c r="AF360"/>
  <c r="AI360" s="1"/>
  <c r="AF359"/>
  <c r="AI359" s="1"/>
  <c r="AF358"/>
  <c r="AI358" s="1"/>
  <c r="AF357"/>
  <c r="AI357" s="1"/>
  <c r="AF356"/>
  <c r="AI356" s="1"/>
  <c r="AF355"/>
  <c r="AI355" s="1"/>
  <c r="AF354"/>
  <c r="AI354" s="1"/>
  <c r="AF353"/>
  <c r="AI353" s="1"/>
  <c r="AF351"/>
  <c r="AI351" s="1"/>
  <c r="AF350"/>
  <c r="AI350" s="1"/>
  <c r="AF349"/>
  <c r="AI349" s="1"/>
  <c r="AF348"/>
  <c r="AI348" s="1"/>
  <c r="AF347"/>
  <c r="AI347" s="1"/>
  <c r="AF346"/>
  <c r="AI346" s="1"/>
  <c r="AF345"/>
  <c r="AI345" s="1"/>
  <c r="AF344"/>
  <c r="AI344" s="1"/>
  <c r="AF343"/>
  <c r="AI343" s="1"/>
  <c r="AF342"/>
  <c r="AI342" s="1"/>
  <c r="AF341"/>
  <c r="AI341" s="1"/>
  <c r="AF339"/>
  <c r="AI339" s="1"/>
  <c r="AF338"/>
  <c r="AI338" s="1"/>
  <c r="AF337"/>
  <c r="AI337" s="1"/>
  <c r="AF336"/>
  <c r="AI336" s="1"/>
  <c r="AF335"/>
  <c r="AI335" s="1"/>
  <c r="AF334"/>
  <c r="AI334" s="1"/>
  <c r="AF333"/>
  <c r="AI333" s="1"/>
  <c r="AF332"/>
  <c r="AI332" s="1"/>
  <c r="AF331"/>
  <c r="AI331" s="1"/>
  <c r="AF330"/>
  <c r="AI330" s="1"/>
  <c r="AF329"/>
  <c r="AI329" s="1"/>
  <c r="AF327"/>
  <c r="AI327" s="1"/>
  <c r="AF326"/>
  <c r="AI326" s="1"/>
  <c r="AF325"/>
  <c r="AI325" s="1"/>
  <c r="AF324"/>
  <c r="AI324" s="1"/>
  <c r="AF323"/>
  <c r="AI323" s="1"/>
  <c r="AF322"/>
  <c r="AI322" s="1"/>
  <c r="AF321"/>
  <c r="AI321" s="1"/>
  <c r="AF320"/>
  <c r="AI320" s="1"/>
  <c r="AF319"/>
  <c r="AI319" s="1"/>
  <c r="AF318"/>
  <c r="AI318" s="1"/>
  <c r="AF317"/>
  <c r="AI317" s="1"/>
  <c r="AF316"/>
  <c r="AI316" s="1"/>
  <c r="AF315"/>
  <c r="AI315" s="1"/>
  <c r="AF314"/>
  <c r="AI314" s="1"/>
  <c r="AF313"/>
  <c r="AI313" s="1"/>
  <c r="AF311"/>
  <c r="AI311" s="1"/>
  <c r="AF310"/>
  <c r="AI310" s="1"/>
  <c r="AF309"/>
  <c r="AI309" s="1"/>
  <c r="AF308"/>
  <c r="AI308" s="1"/>
  <c r="AF307"/>
  <c r="AI307" s="1"/>
  <c r="AF306"/>
  <c r="AI306" s="1"/>
  <c r="AF305"/>
  <c r="AI305" s="1"/>
  <c r="AF304"/>
  <c r="AI304" s="1"/>
  <c r="AF303"/>
  <c r="AI303" s="1"/>
  <c r="AF302"/>
  <c r="AI302" s="1"/>
  <c r="AF301"/>
  <c r="AI301" s="1"/>
  <c r="AF300"/>
  <c r="AI300" s="1"/>
  <c r="AF299"/>
  <c r="AI299" s="1"/>
  <c r="AF298"/>
  <c r="AI298" s="1"/>
  <c r="AF297"/>
  <c r="AI297" s="1"/>
  <c r="AF296"/>
  <c r="AI296" s="1"/>
  <c r="AF295"/>
  <c r="AI295" s="1"/>
  <c r="AF294"/>
  <c r="AI294" s="1"/>
  <c r="AF293"/>
  <c r="AI293" s="1"/>
  <c r="AF292"/>
  <c r="AI292" s="1"/>
  <c r="AF291"/>
  <c r="AI291" s="1"/>
  <c r="AF290"/>
  <c r="AI290" s="1"/>
  <c r="AF289"/>
  <c r="AI289" s="1"/>
  <c r="AF288"/>
  <c r="AI288" s="1"/>
  <c r="AF286"/>
  <c r="AI286" s="1"/>
  <c r="AF285"/>
  <c r="AI285" s="1"/>
  <c r="AF284"/>
  <c r="AI284" s="1"/>
  <c r="AF283"/>
  <c r="AI283" s="1"/>
  <c r="AF282"/>
  <c r="AI282" s="1"/>
  <c r="AF281"/>
  <c r="AI281" s="1"/>
  <c r="AF280"/>
  <c r="AI280" s="1"/>
  <c r="AF279"/>
  <c r="AI279" s="1"/>
  <c r="AF278"/>
  <c r="AI278" s="1"/>
  <c r="AF277"/>
  <c r="AI277" s="1"/>
  <c r="AF276"/>
  <c r="AI276" s="1"/>
  <c r="AF275"/>
  <c r="AI275" s="1"/>
  <c r="AF274"/>
  <c r="AI274" s="1"/>
  <c r="AF273"/>
  <c r="AI273" s="1"/>
  <c r="AF272"/>
  <c r="AI272" s="1"/>
  <c r="AF271"/>
  <c r="AI271" s="1"/>
  <c r="AF270"/>
  <c r="AI270" s="1"/>
  <c r="AF268"/>
  <c r="AI268" s="1"/>
  <c r="AF267"/>
  <c r="AI267" s="1"/>
  <c r="AF266"/>
  <c r="AI266" s="1"/>
  <c r="AF265"/>
  <c r="AI265" s="1"/>
  <c r="AF264"/>
  <c r="AI264" s="1"/>
  <c r="AF263"/>
  <c r="AI263" s="1"/>
  <c r="AF262"/>
  <c r="AI262" s="1"/>
  <c r="AF260"/>
  <c r="AI260" s="1"/>
  <c r="AF259"/>
  <c r="AI259" s="1"/>
  <c r="AF258"/>
  <c r="AI258" s="1"/>
  <c r="AF257"/>
  <c r="AI257" s="1"/>
  <c r="AF256"/>
  <c r="AI256" s="1"/>
  <c r="AF255"/>
  <c r="AI255" s="1"/>
  <c r="AF254"/>
  <c r="AI254" s="1"/>
  <c r="AF253"/>
  <c r="AI253" s="1"/>
  <c r="AF252"/>
  <c r="AI252" s="1"/>
  <c r="AF251"/>
  <c r="AI251" s="1"/>
  <c r="AF250"/>
  <c r="AI250" s="1"/>
  <c r="AF249"/>
  <c r="AI249" s="1"/>
  <c r="AF248"/>
  <c r="AI248" s="1"/>
  <c r="AF247"/>
  <c r="AI247" s="1"/>
  <c r="AF246"/>
  <c r="AI246" s="1"/>
  <c r="AF244"/>
  <c r="AI244" s="1"/>
  <c r="AF243"/>
  <c r="AI243" s="1"/>
  <c r="AF242"/>
  <c r="AI242" s="1"/>
  <c r="AF241"/>
  <c r="AI241" s="1"/>
  <c r="AF240"/>
  <c r="AI240" s="1"/>
  <c r="AF239"/>
  <c r="AI239" s="1"/>
  <c r="AF238"/>
  <c r="AI238" s="1"/>
  <c r="AF237"/>
  <c r="AI237" s="1"/>
  <c r="AF235"/>
  <c r="AI235" s="1"/>
  <c r="AF234"/>
  <c r="AI234" s="1"/>
  <c r="AF233"/>
  <c r="AI233" s="1"/>
  <c r="AF232"/>
  <c r="AI232" s="1"/>
  <c r="AF231"/>
  <c r="AI231" s="1"/>
  <c r="AF230"/>
  <c r="AI230" s="1"/>
  <c r="AF229"/>
  <c r="AI229" s="1"/>
  <c r="AF228"/>
  <c r="AI228" s="1"/>
  <c r="AF227"/>
  <c r="AI227" s="1"/>
  <c r="AF225"/>
  <c r="AI225" s="1"/>
  <c r="AF224"/>
  <c r="AI224" s="1"/>
  <c r="AF223"/>
  <c r="AI223" s="1"/>
  <c r="AF222"/>
  <c r="AI222" s="1"/>
  <c r="AF221"/>
  <c r="AI221" s="1"/>
  <c r="AF220"/>
  <c r="AI220" s="1"/>
  <c r="AF219"/>
  <c r="AI219" s="1"/>
  <c r="AF218"/>
  <c r="AI218" s="1"/>
  <c r="AF217"/>
  <c r="AI217" s="1"/>
  <c r="AF216"/>
  <c r="AI216" s="1"/>
  <c r="AF215"/>
  <c r="AI215" s="1"/>
  <c r="AF214"/>
  <c r="AI214" s="1"/>
  <c r="AF213"/>
  <c r="AI213" s="1"/>
  <c r="AF211"/>
  <c r="AI211" s="1"/>
  <c r="AF210"/>
  <c r="AI210" s="1"/>
  <c r="AF209"/>
  <c r="AI209" s="1"/>
  <c r="AF208"/>
  <c r="AI208" s="1"/>
  <c r="AF207"/>
  <c r="AI207" s="1"/>
  <c r="AF206"/>
  <c r="AI206" s="1"/>
  <c r="AF205"/>
  <c r="AI205" s="1"/>
  <c r="AF204"/>
  <c r="AI204" s="1"/>
  <c r="AF203"/>
  <c r="AI203" s="1"/>
  <c r="AF202"/>
  <c r="AI202" s="1"/>
  <c r="AF201"/>
  <c r="AI201" s="1"/>
  <c r="AF200"/>
  <c r="AI200" s="1"/>
  <c r="AF198"/>
  <c r="AI198" s="1"/>
  <c r="AF197"/>
  <c r="AI197" s="1"/>
  <c r="AF196"/>
  <c r="AI196" s="1"/>
  <c r="AF195"/>
  <c r="AI195" s="1"/>
  <c r="AF194"/>
  <c r="AI194" s="1"/>
  <c r="AF193"/>
  <c r="AI193" s="1"/>
  <c r="AF192"/>
  <c r="AI192" s="1"/>
  <c r="AF191"/>
  <c r="AI191" s="1"/>
  <c r="AF190"/>
  <c r="AI190" s="1"/>
  <c r="AF189"/>
  <c r="AI189" s="1"/>
  <c r="AF188"/>
  <c r="AI188" s="1"/>
  <c r="AF187"/>
  <c r="AI187" s="1"/>
  <c r="AF186"/>
  <c r="AI186" s="1"/>
  <c r="AF184"/>
  <c r="AI184" s="1"/>
  <c r="AF183"/>
  <c r="AI183" s="1"/>
  <c r="AF182"/>
  <c r="AI182" s="1"/>
  <c r="AF181"/>
  <c r="AI181" s="1"/>
  <c r="AF180"/>
  <c r="AI180" s="1"/>
  <c r="AF179"/>
  <c r="AI179" s="1"/>
  <c r="AF178"/>
  <c r="AI178" s="1"/>
  <c r="AF177"/>
  <c r="AI177" s="1"/>
  <c r="AF176"/>
  <c r="AI176" s="1"/>
  <c r="AF175"/>
  <c r="AI175" s="1"/>
  <c r="AF174"/>
  <c r="AI174" s="1"/>
  <c r="AF172"/>
  <c r="AI172" s="1"/>
  <c r="AF171"/>
  <c r="AI171" s="1"/>
  <c r="AF170"/>
  <c r="AI170" s="1"/>
  <c r="AF169"/>
  <c r="AI169" s="1"/>
  <c r="AF168"/>
  <c r="AI168" s="1"/>
  <c r="AF167"/>
  <c r="AI167" s="1"/>
  <c r="AF166"/>
  <c r="AI166" s="1"/>
  <c r="AF165"/>
  <c r="AI165" s="1"/>
  <c r="AF164"/>
  <c r="AI164" s="1"/>
  <c r="AF163"/>
  <c r="AI163" s="1"/>
  <c r="AF162"/>
  <c r="AI162" s="1"/>
  <c r="AF161"/>
  <c r="AI161" s="1"/>
  <c r="AF160"/>
  <c r="AI160" s="1"/>
  <c r="AF158"/>
  <c r="AI158" s="1"/>
  <c r="AF157"/>
  <c r="AI157" s="1"/>
  <c r="AF156"/>
  <c r="AI156" s="1"/>
  <c r="AF155"/>
  <c r="AI155" s="1"/>
  <c r="AF154"/>
  <c r="AI154" s="1"/>
  <c r="AF153"/>
  <c r="AI153" s="1"/>
  <c r="AF152"/>
  <c r="AI152" s="1"/>
  <c r="AF151"/>
  <c r="AI151" s="1"/>
  <c r="AF150"/>
  <c r="AI150" s="1"/>
  <c r="AF149"/>
  <c r="AI149" s="1"/>
  <c r="AF148"/>
  <c r="AI148" s="1"/>
  <c r="AF147"/>
  <c r="AI147" s="1"/>
  <c r="AF145"/>
  <c r="AI145" s="1"/>
  <c r="AF144"/>
  <c r="AI144" s="1"/>
  <c r="AF143"/>
  <c r="AI143" s="1"/>
  <c r="AF142"/>
  <c r="AI142" s="1"/>
  <c r="AF141"/>
  <c r="AI141" s="1"/>
  <c r="AF140"/>
  <c r="AI140" s="1"/>
  <c r="AF138"/>
  <c r="AI138" s="1"/>
  <c r="AF137"/>
  <c r="AI137" s="1"/>
  <c r="AF136"/>
  <c r="AI136" s="1"/>
  <c r="AF135"/>
  <c r="AI135" s="1"/>
  <c r="AF134"/>
  <c r="AI134" s="1"/>
  <c r="AF133"/>
  <c r="AI133" s="1"/>
  <c r="AF132"/>
  <c r="AI132" s="1"/>
  <c r="AF131"/>
  <c r="AI131" s="1"/>
  <c r="AF130"/>
  <c r="AI130" s="1"/>
  <c r="AF128"/>
  <c r="AI128" s="1"/>
  <c r="AF127"/>
  <c r="AI127" s="1"/>
  <c r="AF126"/>
  <c r="AI126" s="1"/>
  <c r="AF125"/>
  <c r="AI125" s="1"/>
  <c r="AF124"/>
  <c r="AI124" s="1"/>
  <c r="AF123"/>
  <c r="AI123" s="1"/>
  <c r="AF122"/>
  <c r="AI122" s="1"/>
  <c r="AF120"/>
  <c r="AI120" s="1"/>
  <c r="AF119"/>
  <c r="AI119" s="1"/>
  <c r="AF118"/>
  <c r="AI118" s="1"/>
  <c r="AF117"/>
  <c r="AI117" s="1"/>
  <c r="AF116"/>
  <c r="AI116" s="1"/>
  <c r="AF115"/>
  <c r="AI115" s="1"/>
  <c r="AF114"/>
  <c r="AI114" s="1"/>
  <c r="AF113"/>
  <c r="AI113" s="1"/>
  <c r="AF112"/>
  <c r="AI112" s="1"/>
  <c r="AF111"/>
  <c r="AI111" s="1"/>
  <c r="AF110"/>
  <c r="AI110" s="1"/>
  <c r="AF109"/>
  <c r="AI109" s="1"/>
  <c r="AF108"/>
  <c r="AI108" s="1"/>
  <c r="AF107"/>
  <c r="AI107" s="1"/>
  <c r="AF106"/>
  <c r="AI106" s="1"/>
  <c r="AF104"/>
  <c r="AI104" s="1"/>
  <c r="AF103"/>
  <c r="AI103" s="1"/>
  <c r="AF102"/>
  <c r="AI102" s="1"/>
  <c r="AF101"/>
  <c r="AI101" s="1"/>
  <c r="AF100"/>
  <c r="AI100" s="1"/>
  <c r="AF99"/>
  <c r="AI99" s="1"/>
  <c r="AF98"/>
  <c r="AI98" s="1"/>
  <c r="AF97"/>
  <c r="AI97" s="1"/>
  <c r="AF96"/>
  <c r="AI96" s="1"/>
  <c r="AF95"/>
  <c r="AI95" s="1"/>
  <c r="AF94"/>
  <c r="AI94" s="1"/>
  <c r="AF93"/>
  <c r="AI93" s="1"/>
  <c r="AF92"/>
  <c r="AI92" s="1"/>
  <c r="AF90"/>
  <c r="AI90" s="1"/>
  <c r="AF89"/>
  <c r="AI89" s="1"/>
  <c r="AF88"/>
  <c r="AI88" s="1"/>
  <c r="AF87"/>
  <c r="AI87" s="1"/>
  <c r="AF86"/>
  <c r="AI86" s="1"/>
  <c r="AF85"/>
  <c r="AI85" s="1"/>
  <c r="AF84"/>
  <c r="AI84" s="1"/>
  <c r="AF83"/>
  <c r="AI83" s="1"/>
  <c r="AF82"/>
  <c r="AI82" s="1"/>
  <c r="AF80"/>
  <c r="AI80" s="1"/>
  <c r="AF79"/>
  <c r="AI79" s="1"/>
  <c r="AF78"/>
  <c r="AI78" s="1"/>
  <c r="AF77"/>
  <c r="AI77" s="1"/>
  <c r="AF76"/>
  <c r="AI76" s="1"/>
  <c r="AF75"/>
  <c r="AI75" s="1"/>
  <c r="AF74"/>
  <c r="AI74" s="1"/>
  <c r="AF73"/>
  <c r="AI73" s="1"/>
  <c r="AF71"/>
  <c r="AI71" s="1"/>
  <c r="AF70"/>
  <c r="AI70" s="1"/>
  <c r="AF69"/>
  <c r="AI69" s="1"/>
  <c r="AF68"/>
  <c r="AI68" s="1"/>
  <c r="AF67"/>
  <c r="AI67" s="1"/>
  <c r="AF65"/>
  <c r="AI65" s="1"/>
  <c r="AF64"/>
  <c r="AI64" s="1"/>
  <c r="AF63"/>
  <c r="AI63" s="1"/>
  <c r="AF62"/>
  <c r="AI62" s="1"/>
  <c r="AF61"/>
  <c r="AI61" s="1"/>
  <c r="AF60"/>
  <c r="AI60" s="1"/>
  <c r="AF59"/>
  <c r="AI59" s="1"/>
  <c r="AF58"/>
  <c r="AI58" s="1"/>
  <c r="AF57"/>
  <c r="AI57" s="1"/>
  <c r="AF56"/>
  <c r="AI56" s="1"/>
  <c r="AF55"/>
  <c r="AI55" s="1"/>
  <c r="AF54"/>
  <c r="AI54" s="1"/>
  <c r="AF53"/>
  <c r="AF51"/>
  <c r="AI51" s="1"/>
  <c r="AF50"/>
  <c r="AI50" s="1"/>
  <c r="AF49"/>
  <c r="AI49" s="1"/>
  <c r="AF48"/>
  <c r="AI48" s="1"/>
  <c r="AF47"/>
  <c r="AI47" s="1"/>
  <c r="AF44"/>
  <c r="AI44" s="1"/>
  <c r="AF43"/>
  <c r="AI43" s="1"/>
  <c r="AF42"/>
  <c r="AI42" s="1"/>
  <c r="AF41"/>
  <c r="AI41" s="1"/>
  <c r="AF40"/>
  <c r="AI40" s="1"/>
  <c r="AF39"/>
  <c r="AI39" s="1"/>
  <c r="AF38"/>
  <c r="AI38" s="1"/>
  <c r="AF37"/>
  <c r="AI37" s="1"/>
  <c r="AF36"/>
  <c r="AI36" s="1"/>
  <c r="AF35"/>
  <c r="AI35" s="1"/>
  <c r="AF34"/>
  <c r="AI34" s="1"/>
  <c r="AF33"/>
  <c r="AI33" s="1"/>
  <c r="AF32"/>
  <c r="AI32" s="1"/>
  <c r="AF31"/>
  <c r="AI31" s="1"/>
  <c r="AF30"/>
  <c r="AI30" s="1"/>
  <c r="AF29"/>
  <c r="AI29" s="1"/>
  <c r="AF28"/>
  <c r="AI28" s="1"/>
  <c r="AF27"/>
  <c r="AI27" s="1"/>
  <c r="AF26"/>
  <c r="AI26" s="1"/>
  <c r="AF25"/>
  <c r="AI25" s="1"/>
  <c r="AF24"/>
  <c r="AI24" s="1"/>
  <c r="AF23"/>
  <c r="AI23" s="1"/>
  <c r="AF22"/>
  <c r="AI22" s="1"/>
  <c r="AF21"/>
  <c r="AF20"/>
  <c r="AI20" s="1"/>
  <c r="AF19"/>
  <c r="AI19" s="1"/>
  <c r="AF18"/>
  <c r="AI18" s="1"/>
  <c r="AF16"/>
  <c r="AI16" s="1"/>
  <c r="AF15"/>
  <c r="AI15" s="1"/>
  <c r="AF14"/>
  <c r="AI14" s="1"/>
  <c r="AF13"/>
  <c r="AI13" s="1"/>
  <c r="AF12"/>
  <c r="AI12" s="1"/>
  <c r="AF11"/>
  <c r="AI11" s="1"/>
  <c r="AF10"/>
  <c r="AI10" s="1"/>
  <c r="AF9"/>
  <c r="AI9" s="1"/>
  <c r="AF8"/>
  <c r="AI8" s="1"/>
  <c r="C45"/>
  <c r="B45"/>
  <c r="C17"/>
  <c r="B17"/>
  <c r="AJ83" l="1"/>
  <c r="AJ102"/>
  <c r="AJ113"/>
  <c r="AJ135"/>
  <c r="AJ201"/>
  <c r="AJ207"/>
  <c r="AJ231"/>
  <c r="AJ233"/>
  <c r="AJ290"/>
  <c r="AJ304"/>
  <c r="AJ308"/>
  <c r="AJ321"/>
  <c r="AJ323"/>
  <c r="AJ354"/>
  <c r="AJ367"/>
  <c r="AI53"/>
  <c r="AG53"/>
  <c r="AJ65"/>
  <c r="AJ68"/>
  <c r="AJ99"/>
  <c r="AJ110"/>
  <c r="AJ134"/>
  <c r="AJ176"/>
  <c r="AJ182"/>
  <c r="AJ202"/>
  <c r="AJ215"/>
  <c r="AJ219"/>
  <c r="AJ221"/>
  <c r="AJ291"/>
  <c r="AJ299"/>
  <c r="AJ303"/>
  <c r="AJ307"/>
  <c r="AJ311"/>
  <c r="AJ320"/>
  <c r="AJ322"/>
  <c r="AJ324"/>
  <c r="AJ346"/>
  <c r="AJ359"/>
  <c r="AI21"/>
  <c r="AG21"/>
  <c r="AG7"/>
  <c r="AI7"/>
  <c r="L7" i="8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9"/>
  <c r="M59" s="1"/>
  <c r="L61"/>
  <c r="M61" s="1"/>
  <c r="L63"/>
  <c r="M63" s="1"/>
  <c r="L65"/>
  <c r="M65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0"/>
  <c r="M90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3"/>
  <c r="M123" s="1"/>
  <c r="L125"/>
  <c r="M125" s="1"/>
  <c r="L127"/>
  <c r="M127" s="1"/>
  <c r="L130"/>
  <c r="M130" s="1"/>
  <c r="L132"/>
  <c r="M132" s="1"/>
  <c r="L134"/>
  <c r="M134" s="1"/>
  <c r="L136"/>
  <c r="M136" s="1"/>
  <c r="L138"/>
  <c r="M138" s="1"/>
  <c r="L141"/>
  <c r="M141" s="1"/>
  <c r="L143"/>
  <c r="M143" s="1"/>
  <c r="L145"/>
  <c r="M145" s="1"/>
  <c r="L148"/>
  <c r="M148" s="1"/>
  <c r="L150"/>
  <c r="M150" s="1"/>
  <c r="L152"/>
  <c r="M152" s="1"/>
  <c r="L154"/>
  <c r="M154" s="1"/>
  <c r="L156"/>
  <c r="M156" s="1"/>
  <c r="L158"/>
  <c r="M158" s="1"/>
  <c r="L161"/>
  <c r="M161" s="1"/>
  <c r="L163"/>
  <c r="M163" s="1"/>
  <c r="L165"/>
  <c r="M165" s="1"/>
  <c r="L167"/>
  <c r="M167" s="1"/>
  <c r="L169"/>
  <c r="M169" s="1"/>
  <c r="L171"/>
  <c r="M171" s="1"/>
  <c r="L174"/>
  <c r="M174" s="1"/>
  <c r="L176"/>
  <c r="M176" s="1"/>
  <c r="L178"/>
  <c r="M178" s="1"/>
  <c r="L180"/>
  <c r="M180" s="1"/>
  <c r="L182"/>
  <c r="M182" s="1"/>
  <c r="L184"/>
  <c r="M184" s="1"/>
  <c r="L187"/>
  <c r="M187" s="1"/>
  <c r="L189"/>
  <c r="M189" s="1"/>
  <c r="L191"/>
  <c r="M191" s="1"/>
  <c r="L193"/>
  <c r="M193" s="1"/>
  <c r="L195"/>
  <c r="M195" s="1"/>
  <c r="L197"/>
  <c r="M197" s="1"/>
  <c r="L200"/>
  <c r="M200" s="1"/>
  <c r="L202"/>
  <c r="M202" s="1"/>
  <c r="L204"/>
  <c r="M204" s="1"/>
  <c r="L206"/>
  <c r="M206" s="1"/>
  <c r="L208"/>
  <c r="M208" s="1"/>
  <c r="L210"/>
  <c r="M210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8"/>
  <c r="M228" s="1"/>
  <c r="L230"/>
  <c r="M230" s="1"/>
  <c r="L232"/>
  <c r="M232" s="1"/>
  <c r="L234"/>
  <c r="M234" s="1"/>
  <c r="L237"/>
  <c r="M237" s="1"/>
  <c r="L239"/>
  <c r="M239" s="1"/>
  <c r="L241"/>
  <c r="M241" s="1"/>
  <c r="L243"/>
  <c r="M243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3"/>
  <c r="M263" s="1"/>
  <c r="L265"/>
  <c r="M265" s="1"/>
  <c r="L267"/>
  <c r="M267" s="1"/>
  <c r="L270"/>
  <c r="M270" s="1"/>
  <c r="L272"/>
  <c r="M272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4"/>
  <c r="M314" s="1"/>
  <c r="L316"/>
  <c r="M316" s="1"/>
  <c r="L318"/>
  <c r="M318" s="1"/>
  <c r="L320"/>
  <c r="M320" s="1"/>
  <c r="L322"/>
  <c r="M322" s="1"/>
  <c r="L324"/>
  <c r="M324" s="1"/>
  <c r="L326"/>
  <c r="M326" s="1"/>
  <c r="L329"/>
  <c r="M329" s="1"/>
  <c r="L331"/>
  <c r="M331" s="1"/>
  <c r="L333"/>
  <c r="M333" s="1"/>
  <c r="L335"/>
  <c r="M335" s="1"/>
  <c r="L337"/>
  <c r="M337" s="1"/>
  <c r="L339"/>
  <c r="M339" s="1"/>
  <c r="L342"/>
  <c r="M342" s="1"/>
  <c r="L344"/>
  <c r="M344" s="1"/>
  <c r="L346"/>
  <c r="M346" s="1"/>
  <c r="L348"/>
  <c r="M348" s="1"/>
  <c r="L350"/>
  <c r="M350" s="1"/>
  <c r="L353"/>
  <c r="M353" s="1"/>
  <c r="L355"/>
  <c r="M355" s="1"/>
  <c r="L357"/>
  <c r="M357" s="1"/>
  <c r="L359"/>
  <c r="M359" s="1"/>
  <c r="L361"/>
  <c r="M361" s="1"/>
  <c r="L363"/>
  <c r="M363" s="1"/>
  <c r="L366"/>
  <c r="M366" s="1"/>
  <c r="L368"/>
  <c r="M368" s="1"/>
  <c r="L370"/>
  <c r="M370" s="1"/>
  <c r="L372"/>
  <c r="M372" s="1"/>
  <c r="L374"/>
  <c r="M374" s="1"/>
  <c r="L376"/>
  <c r="M376" s="1"/>
  <c r="L8"/>
  <c r="M8" s="1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8"/>
  <c r="M58" s="1"/>
  <c r="L60"/>
  <c r="M60" s="1"/>
  <c r="L62"/>
  <c r="M62" s="1"/>
  <c r="L64"/>
  <c r="M64" s="1"/>
  <c r="L67"/>
  <c r="M67" s="1"/>
  <c r="L69"/>
  <c r="M69" s="1"/>
  <c r="L71"/>
  <c r="M71" s="1"/>
  <c r="L74"/>
  <c r="M74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4"/>
  <c r="M104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4"/>
  <c r="M144" s="1"/>
  <c r="L147"/>
  <c r="M147" s="1"/>
  <c r="L149"/>
  <c r="M149" s="1"/>
  <c r="L151"/>
  <c r="M151" s="1"/>
  <c r="L153"/>
  <c r="M153" s="1"/>
  <c r="L155"/>
  <c r="M155" s="1"/>
  <c r="L157"/>
  <c r="M157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5"/>
  <c r="M175" s="1"/>
  <c r="L177"/>
  <c r="M177" s="1"/>
  <c r="L179"/>
  <c r="M179" s="1"/>
  <c r="L181"/>
  <c r="M181" s="1"/>
  <c r="L183"/>
  <c r="M183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1"/>
  <c r="M201" s="1"/>
  <c r="L203"/>
  <c r="M203" s="1"/>
  <c r="L205"/>
  <c r="M205" s="1"/>
  <c r="L207"/>
  <c r="M207" s="1"/>
  <c r="L209"/>
  <c r="M209" s="1"/>
  <c r="L211"/>
  <c r="M211" s="1"/>
  <c r="L214"/>
  <c r="M214" s="1"/>
  <c r="L216"/>
  <c r="M216" s="1"/>
  <c r="L218"/>
  <c r="M218" s="1"/>
  <c r="L220"/>
  <c r="M220" s="1"/>
  <c r="L222"/>
  <c r="M222" s="1"/>
  <c r="L224"/>
  <c r="M224" s="1"/>
  <c r="L227"/>
  <c r="M227" s="1"/>
  <c r="L229"/>
  <c r="M229" s="1"/>
  <c r="L231"/>
  <c r="M231" s="1"/>
  <c r="L233"/>
  <c r="M233" s="1"/>
  <c r="L235"/>
  <c r="M235" s="1"/>
  <c r="L238"/>
  <c r="M238" s="1"/>
  <c r="L240"/>
  <c r="M240" s="1"/>
  <c r="L242"/>
  <c r="M242" s="1"/>
  <c r="L244"/>
  <c r="M244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2"/>
  <c r="M262" s="1"/>
  <c r="L264"/>
  <c r="M264" s="1"/>
  <c r="L266"/>
  <c r="M266" s="1"/>
  <c r="L268"/>
  <c r="M268" s="1"/>
  <c r="L271"/>
  <c r="M271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3"/>
  <c r="M313" s="1"/>
  <c r="L315"/>
  <c r="M315" s="1"/>
  <c r="L317"/>
  <c r="M317" s="1"/>
  <c r="L319"/>
  <c r="M319" s="1"/>
  <c r="L321"/>
  <c r="M321" s="1"/>
  <c r="L323"/>
  <c r="M323" s="1"/>
  <c r="L325"/>
  <c r="M325" s="1"/>
  <c r="L327"/>
  <c r="M327" s="1"/>
  <c r="L330"/>
  <c r="M330" s="1"/>
  <c r="L332"/>
  <c r="M332" s="1"/>
  <c r="L334"/>
  <c r="M334" s="1"/>
  <c r="L336"/>
  <c r="M336" s="1"/>
  <c r="L338"/>
  <c r="M338" s="1"/>
  <c r="L341"/>
  <c r="M341" s="1"/>
  <c r="L343"/>
  <c r="M343" s="1"/>
  <c r="L345"/>
  <c r="M345" s="1"/>
  <c r="L347"/>
  <c r="M347" s="1"/>
  <c r="L349"/>
  <c r="M349" s="1"/>
  <c r="L351"/>
  <c r="M351" s="1"/>
  <c r="L354"/>
  <c r="M354" s="1"/>
  <c r="L356"/>
  <c r="M356" s="1"/>
  <c r="L358"/>
  <c r="M358" s="1"/>
  <c r="L360"/>
  <c r="M360" s="1"/>
  <c r="L362"/>
  <c r="M362" s="1"/>
  <c r="L365"/>
  <c r="M365" s="1"/>
  <c r="L367"/>
  <c r="M367" s="1"/>
  <c r="L369"/>
  <c r="M369" s="1"/>
  <c r="L371"/>
  <c r="M371" s="1"/>
  <c r="L373"/>
  <c r="M373" s="1"/>
  <c r="L375"/>
  <c r="M375" s="1"/>
  <c r="P17" i="7"/>
  <c r="C18" i="8"/>
  <c r="D18" s="1"/>
  <c r="C34"/>
  <c r="D34" s="1"/>
  <c r="C11"/>
  <c r="D11" s="1"/>
  <c r="C20"/>
  <c r="D20" s="1"/>
  <c r="C28"/>
  <c r="D28" s="1"/>
  <c r="C36"/>
  <c r="D36" s="1"/>
  <c r="C44"/>
  <c r="D44" s="1"/>
  <c r="C50"/>
  <c r="D50" s="1"/>
  <c r="X50" s="1"/>
  <c r="C59"/>
  <c r="D59" s="1"/>
  <c r="X59" s="1"/>
  <c r="C63"/>
  <c r="D63" s="1"/>
  <c r="X63" s="1"/>
  <c r="C73"/>
  <c r="D73" s="1"/>
  <c r="X73" s="1"/>
  <c r="C82"/>
  <c r="D82" s="1"/>
  <c r="X82" s="1"/>
  <c r="C90"/>
  <c r="D90" s="1"/>
  <c r="X90" s="1"/>
  <c r="C99"/>
  <c r="D99" s="1"/>
  <c r="X99" s="1"/>
  <c r="C108"/>
  <c r="D108" s="1"/>
  <c r="X108" s="1"/>
  <c r="C116"/>
  <c r="D116" s="1"/>
  <c r="X116" s="1"/>
  <c r="C120"/>
  <c r="D120" s="1"/>
  <c r="X120" s="1"/>
  <c r="C130"/>
  <c r="D130" s="1"/>
  <c r="X130" s="1"/>
  <c r="C138"/>
  <c r="D138" s="1"/>
  <c r="X138" s="1"/>
  <c r="C148"/>
  <c r="D148" s="1"/>
  <c r="X148" s="1"/>
  <c r="C156"/>
  <c r="D156" s="1"/>
  <c r="X156" s="1"/>
  <c r="C169"/>
  <c r="D169" s="1"/>
  <c r="X169" s="1"/>
  <c r="C191"/>
  <c r="D191" s="1"/>
  <c r="X191" s="1"/>
  <c r="D17" i="7"/>
  <c r="C8" i="8"/>
  <c r="D8" s="1"/>
  <c r="C12"/>
  <c r="D12" s="1"/>
  <c r="C16"/>
  <c r="D16" s="1"/>
  <c r="C21"/>
  <c r="D21" s="1"/>
  <c r="C25"/>
  <c r="D25" s="1"/>
  <c r="C29"/>
  <c r="D29" s="1"/>
  <c r="C33"/>
  <c r="D33" s="1"/>
  <c r="C37"/>
  <c r="D37" s="1"/>
  <c r="C41"/>
  <c r="D41" s="1"/>
  <c r="C47"/>
  <c r="D47" s="1"/>
  <c r="C51"/>
  <c r="D51" s="1"/>
  <c r="X51" s="1"/>
  <c r="C56"/>
  <c r="D56" s="1"/>
  <c r="X56" s="1"/>
  <c r="C60"/>
  <c r="D60" s="1"/>
  <c r="X60" s="1"/>
  <c r="C64"/>
  <c r="D64" s="1"/>
  <c r="X64" s="1"/>
  <c r="C69"/>
  <c r="D69" s="1"/>
  <c r="X69" s="1"/>
  <c r="C74"/>
  <c r="D74" s="1"/>
  <c r="X74" s="1"/>
  <c r="C78"/>
  <c r="D78" s="1"/>
  <c r="X78" s="1"/>
  <c r="C83"/>
  <c r="D83" s="1"/>
  <c r="X83" s="1"/>
  <c r="C87"/>
  <c r="D87" s="1"/>
  <c r="X87" s="1"/>
  <c r="C92"/>
  <c r="D92" s="1"/>
  <c r="X92" s="1"/>
  <c r="C96"/>
  <c r="D96" s="1"/>
  <c r="X96" s="1"/>
  <c r="C100"/>
  <c r="D100" s="1"/>
  <c r="X100" s="1"/>
  <c r="C104"/>
  <c r="D104" s="1"/>
  <c r="X104" s="1"/>
  <c r="C109"/>
  <c r="D109" s="1"/>
  <c r="X109" s="1"/>
  <c r="C113"/>
  <c r="D113" s="1"/>
  <c r="X113" s="1"/>
  <c r="C117"/>
  <c r="D117" s="1"/>
  <c r="X117" s="1"/>
  <c r="C122"/>
  <c r="D122" s="1"/>
  <c r="X122" s="1"/>
  <c r="C126"/>
  <c r="D126" s="1"/>
  <c r="X126" s="1"/>
  <c r="C131"/>
  <c r="D131" s="1"/>
  <c r="X131" s="1"/>
  <c r="C135"/>
  <c r="D135" s="1"/>
  <c r="X135" s="1"/>
  <c r="C140"/>
  <c r="D140" s="1"/>
  <c r="X140" s="1"/>
  <c r="C144"/>
  <c r="D144" s="1"/>
  <c r="X144" s="1"/>
  <c r="C149"/>
  <c r="D149" s="1"/>
  <c r="X149" s="1"/>
  <c r="C153"/>
  <c r="D153" s="1"/>
  <c r="X153" s="1"/>
  <c r="C157"/>
  <c r="D157" s="1"/>
  <c r="X157" s="1"/>
  <c r="C162"/>
  <c r="D162" s="1"/>
  <c r="X162" s="1"/>
  <c r="C166"/>
  <c r="D166" s="1"/>
  <c r="X166" s="1"/>
  <c r="C170"/>
  <c r="D170" s="1"/>
  <c r="X170" s="1"/>
  <c r="C175"/>
  <c r="D175" s="1"/>
  <c r="X175" s="1"/>
  <c r="C179"/>
  <c r="D179" s="1"/>
  <c r="X179" s="1"/>
  <c r="C183"/>
  <c r="D183" s="1"/>
  <c r="X183" s="1"/>
  <c r="C188"/>
  <c r="D188" s="1"/>
  <c r="X188" s="1"/>
  <c r="C192"/>
  <c r="D192" s="1"/>
  <c r="X192" s="1"/>
  <c r="C196"/>
  <c r="D196" s="1"/>
  <c r="X196" s="1"/>
  <c r="C201"/>
  <c r="D201" s="1"/>
  <c r="X201" s="1"/>
  <c r="C205"/>
  <c r="D205" s="1"/>
  <c r="X205" s="1"/>
  <c r="C209"/>
  <c r="D209" s="1"/>
  <c r="X209" s="1"/>
  <c r="C214"/>
  <c r="D214" s="1"/>
  <c r="X214" s="1"/>
  <c r="C218"/>
  <c r="D218" s="1"/>
  <c r="X218" s="1"/>
  <c r="C222"/>
  <c r="D222" s="1"/>
  <c r="X222" s="1"/>
  <c r="C227"/>
  <c r="D227" s="1"/>
  <c r="X227" s="1"/>
  <c r="C231"/>
  <c r="D231" s="1"/>
  <c r="X231" s="1"/>
  <c r="C235"/>
  <c r="D235" s="1"/>
  <c r="X235" s="1"/>
  <c r="C240"/>
  <c r="D240" s="1"/>
  <c r="X240" s="1"/>
  <c r="C244"/>
  <c r="D244" s="1"/>
  <c r="X244" s="1"/>
  <c r="C249"/>
  <c r="D249" s="1"/>
  <c r="X249" s="1"/>
  <c r="C253"/>
  <c r="D253" s="1"/>
  <c r="X253" s="1"/>
  <c r="C257"/>
  <c r="D257" s="1"/>
  <c r="X257" s="1"/>
  <c r="C262"/>
  <c r="D262" s="1"/>
  <c r="X262" s="1"/>
  <c r="C266"/>
  <c r="D266" s="1"/>
  <c r="X266" s="1"/>
  <c r="C271"/>
  <c r="D271" s="1"/>
  <c r="X271" s="1"/>
  <c r="C275"/>
  <c r="D275" s="1"/>
  <c r="X275" s="1"/>
  <c r="C279"/>
  <c r="D279" s="1"/>
  <c r="X279" s="1"/>
  <c r="C283"/>
  <c r="D283" s="1"/>
  <c r="X283" s="1"/>
  <c r="C288"/>
  <c r="D288" s="1"/>
  <c r="X288" s="1"/>
  <c r="C292"/>
  <c r="D292" s="1"/>
  <c r="X292" s="1"/>
  <c r="C296"/>
  <c r="D296" s="1"/>
  <c r="X296" s="1"/>
  <c r="C300"/>
  <c r="D300" s="1"/>
  <c r="X300" s="1"/>
  <c r="C304"/>
  <c r="D304" s="1"/>
  <c r="X304" s="1"/>
  <c r="C308"/>
  <c r="D308" s="1"/>
  <c r="X308" s="1"/>
  <c r="C313"/>
  <c r="D313" s="1"/>
  <c r="X313" s="1"/>
  <c r="C317"/>
  <c r="D317" s="1"/>
  <c r="X317" s="1"/>
  <c r="C321"/>
  <c r="D321" s="1"/>
  <c r="X321" s="1"/>
  <c r="C325"/>
  <c r="D325" s="1"/>
  <c r="X325" s="1"/>
  <c r="C330"/>
  <c r="D330" s="1"/>
  <c r="X330" s="1"/>
  <c r="C334"/>
  <c r="D334" s="1"/>
  <c r="X334" s="1"/>
  <c r="C338"/>
  <c r="D338" s="1"/>
  <c r="X338" s="1"/>
  <c r="C343"/>
  <c r="D343" s="1"/>
  <c r="X343" s="1"/>
  <c r="C347"/>
  <c r="D347" s="1"/>
  <c r="X347" s="1"/>
  <c r="C351"/>
  <c r="D351" s="1"/>
  <c r="X351" s="1"/>
  <c r="C356"/>
  <c r="D356" s="1"/>
  <c r="X356" s="1"/>
  <c r="C360"/>
  <c r="D360" s="1"/>
  <c r="X360" s="1"/>
  <c r="C365"/>
  <c r="D365" s="1"/>
  <c r="X365" s="1"/>
  <c r="C369"/>
  <c r="D369" s="1"/>
  <c r="X369" s="1"/>
  <c r="C373"/>
  <c r="D373" s="1"/>
  <c r="X373" s="1"/>
  <c r="C9"/>
  <c r="D9" s="1"/>
  <c r="C26"/>
  <c r="D26" s="1"/>
  <c r="C42"/>
  <c r="D42" s="1"/>
  <c r="C53"/>
  <c r="D53" s="1"/>
  <c r="X53" s="1"/>
  <c r="C61"/>
  <c r="D61" s="1"/>
  <c r="X61" s="1"/>
  <c r="C75"/>
  <c r="D75" s="1"/>
  <c r="X75" s="1"/>
  <c r="C84"/>
  <c r="D84" s="1"/>
  <c r="X84" s="1"/>
  <c r="C93"/>
  <c r="D93" s="1"/>
  <c r="X93" s="1"/>
  <c r="C101"/>
  <c r="D101" s="1"/>
  <c r="X101" s="1"/>
  <c r="C114"/>
  <c r="D114" s="1"/>
  <c r="X114" s="1"/>
  <c r="C123"/>
  <c r="D123" s="1"/>
  <c r="X123" s="1"/>
  <c r="C127"/>
  <c r="D127" s="1"/>
  <c r="X127" s="1"/>
  <c r="C136"/>
  <c r="D136" s="1"/>
  <c r="X136" s="1"/>
  <c r="C141"/>
  <c r="D141" s="1"/>
  <c r="X141" s="1"/>
  <c r="C145"/>
  <c r="D145" s="1"/>
  <c r="X145" s="1"/>
  <c r="C150"/>
  <c r="D150" s="1"/>
  <c r="X150" s="1"/>
  <c r="C154"/>
  <c r="D154" s="1"/>
  <c r="X154" s="1"/>
  <c r="C158"/>
  <c r="D158" s="1"/>
  <c r="X158" s="1"/>
  <c r="C163"/>
  <c r="D163" s="1"/>
  <c r="X163" s="1"/>
  <c r="C167"/>
  <c r="D167" s="1"/>
  <c r="X167" s="1"/>
  <c r="C171"/>
  <c r="D171" s="1"/>
  <c r="X171" s="1"/>
  <c r="C176"/>
  <c r="D176" s="1"/>
  <c r="X176" s="1"/>
  <c r="C180"/>
  <c r="D180" s="1"/>
  <c r="X180" s="1"/>
  <c r="C184"/>
  <c r="D184" s="1"/>
  <c r="X184" s="1"/>
  <c r="C189"/>
  <c r="D189" s="1"/>
  <c r="X189" s="1"/>
  <c r="C193"/>
  <c r="D193" s="1"/>
  <c r="X193" s="1"/>
  <c r="C197"/>
  <c r="D197" s="1"/>
  <c r="X197" s="1"/>
  <c r="C202"/>
  <c r="D202" s="1"/>
  <c r="X202" s="1"/>
  <c r="C206"/>
  <c r="D206" s="1"/>
  <c r="X206" s="1"/>
  <c r="C210"/>
  <c r="D210" s="1"/>
  <c r="X210" s="1"/>
  <c r="C215"/>
  <c r="D215" s="1"/>
  <c r="X215" s="1"/>
  <c r="C219"/>
  <c r="D219" s="1"/>
  <c r="X219" s="1"/>
  <c r="C223"/>
  <c r="D223" s="1"/>
  <c r="X223" s="1"/>
  <c r="C228"/>
  <c r="D228" s="1"/>
  <c r="X228" s="1"/>
  <c r="C232"/>
  <c r="D232" s="1"/>
  <c r="X232" s="1"/>
  <c r="C237"/>
  <c r="D237" s="1"/>
  <c r="X237" s="1"/>
  <c r="C241"/>
  <c r="D241" s="1"/>
  <c r="X241" s="1"/>
  <c r="C246"/>
  <c r="D246" s="1"/>
  <c r="X246" s="1"/>
  <c r="C250"/>
  <c r="D250" s="1"/>
  <c r="X250" s="1"/>
  <c r="C254"/>
  <c r="D254" s="1"/>
  <c r="X254" s="1"/>
  <c r="C258"/>
  <c r="D258" s="1"/>
  <c r="X258" s="1"/>
  <c r="C263"/>
  <c r="D263" s="1"/>
  <c r="X263" s="1"/>
  <c r="C267"/>
  <c r="D267" s="1"/>
  <c r="X267" s="1"/>
  <c r="C272"/>
  <c r="D272" s="1"/>
  <c r="X272" s="1"/>
  <c r="C276"/>
  <c r="D276" s="1"/>
  <c r="X276" s="1"/>
  <c r="C280"/>
  <c r="D280" s="1"/>
  <c r="X280" s="1"/>
  <c r="C284"/>
  <c r="D284" s="1"/>
  <c r="X284" s="1"/>
  <c r="C289"/>
  <c r="D289" s="1"/>
  <c r="X289" s="1"/>
  <c r="C293"/>
  <c r="D293" s="1"/>
  <c r="X293" s="1"/>
  <c r="C297"/>
  <c r="D297" s="1"/>
  <c r="X297" s="1"/>
  <c r="C301"/>
  <c r="D301" s="1"/>
  <c r="X301" s="1"/>
  <c r="C305"/>
  <c r="D305" s="1"/>
  <c r="X305" s="1"/>
  <c r="C309"/>
  <c r="D309" s="1"/>
  <c r="X309" s="1"/>
  <c r="C314"/>
  <c r="D314" s="1"/>
  <c r="X314" s="1"/>
  <c r="C318"/>
  <c r="D318" s="1"/>
  <c r="X318" s="1"/>
  <c r="C322"/>
  <c r="D322" s="1"/>
  <c r="X322" s="1"/>
  <c r="C326"/>
  <c r="D326" s="1"/>
  <c r="X326" s="1"/>
  <c r="C331"/>
  <c r="D331" s="1"/>
  <c r="X331" s="1"/>
  <c r="C335"/>
  <c r="D335" s="1"/>
  <c r="X335" s="1"/>
  <c r="C339"/>
  <c r="D339" s="1"/>
  <c r="X339" s="1"/>
  <c r="C344"/>
  <c r="D344" s="1"/>
  <c r="X344" s="1"/>
  <c r="C348"/>
  <c r="D348" s="1"/>
  <c r="X348" s="1"/>
  <c r="C353"/>
  <c r="D353" s="1"/>
  <c r="X353" s="1"/>
  <c r="C357"/>
  <c r="D357" s="1"/>
  <c r="X357" s="1"/>
  <c r="C361"/>
  <c r="D361" s="1"/>
  <c r="X361" s="1"/>
  <c r="C366"/>
  <c r="D366" s="1"/>
  <c r="X366" s="1"/>
  <c r="C370"/>
  <c r="D370" s="1"/>
  <c r="X370" s="1"/>
  <c r="C374"/>
  <c r="D374" s="1"/>
  <c r="X374" s="1"/>
  <c r="C22"/>
  <c r="D22" s="1"/>
  <c r="C38"/>
  <c r="D38" s="1"/>
  <c r="C48"/>
  <c r="D48" s="1"/>
  <c r="X48" s="1"/>
  <c r="C57"/>
  <c r="D57" s="1"/>
  <c r="X57" s="1"/>
  <c r="C65"/>
  <c r="D65" s="1"/>
  <c r="X65" s="1"/>
  <c r="C70"/>
  <c r="D70" s="1"/>
  <c r="X70" s="1"/>
  <c r="C79"/>
  <c r="D79" s="1"/>
  <c r="X79" s="1"/>
  <c r="C88"/>
  <c r="D88" s="1"/>
  <c r="X88" s="1"/>
  <c r="C97"/>
  <c r="D97" s="1"/>
  <c r="X97" s="1"/>
  <c r="C106"/>
  <c r="D106" s="1"/>
  <c r="X106" s="1"/>
  <c r="C110"/>
  <c r="D110" s="1"/>
  <c r="X110" s="1"/>
  <c r="C118"/>
  <c r="D118" s="1"/>
  <c r="X118" s="1"/>
  <c r="C132"/>
  <c r="D132" s="1"/>
  <c r="X132" s="1"/>
  <c r="C10"/>
  <c r="D10" s="1"/>
  <c r="C14"/>
  <c r="D14" s="1"/>
  <c r="C19"/>
  <c r="D19" s="1"/>
  <c r="C23"/>
  <c r="D23" s="1"/>
  <c r="C27"/>
  <c r="D27" s="1"/>
  <c r="C31"/>
  <c r="D31" s="1"/>
  <c r="C35"/>
  <c r="D35" s="1"/>
  <c r="C39"/>
  <c r="D39" s="1"/>
  <c r="C43"/>
  <c r="D43" s="1"/>
  <c r="C49"/>
  <c r="D49" s="1"/>
  <c r="X49" s="1"/>
  <c r="C54"/>
  <c r="D54" s="1"/>
  <c r="X54" s="1"/>
  <c r="C58"/>
  <c r="D58" s="1"/>
  <c r="X58" s="1"/>
  <c r="C62"/>
  <c r="D62" s="1"/>
  <c r="X62" s="1"/>
  <c r="C67"/>
  <c r="D67" s="1"/>
  <c r="X67" s="1"/>
  <c r="C71"/>
  <c r="D71" s="1"/>
  <c r="X71" s="1"/>
  <c r="C76"/>
  <c r="D76" s="1"/>
  <c r="X76" s="1"/>
  <c r="C80"/>
  <c r="D80" s="1"/>
  <c r="X80" s="1"/>
  <c r="C85"/>
  <c r="D85" s="1"/>
  <c r="X85" s="1"/>
  <c r="C89"/>
  <c r="D89" s="1"/>
  <c r="X89" s="1"/>
  <c r="C94"/>
  <c r="D94" s="1"/>
  <c r="X94" s="1"/>
  <c r="C98"/>
  <c r="D98" s="1"/>
  <c r="X98" s="1"/>
  <c r="C102"/>
  <c r="D102" s="1"/>
  <c r="X102" s="1"/>
  <c r="C107"/>
  <c r="D107" s="1"/>
  <c r="X107" s="1"/>
  <c r="C111"/>
  <c r="D111" s="1"/>
  <c r="X111" s="1"/>
  <c r="C115"/>
  <c r="D115" s="1"/>
  <c r="X115" s="1"/>
  <c r="C119"/>
  <c r="D119" s="1"/>
  <c r="X119" s="1"/>
  <c r="C124"/>
  <c r="D124" s="1"/>
  <c r="X124" s="1"/>
  <c r="C128"/>
  <c r="D128" s="1"/>
  <c r="X128" s="1"/>
  <c r="C133"/>
  <c r="D133" s="1"/>
  <c r="X133" s="1"/>
  <c r="C137"/>
  <c r="D137" s="1"/>
  <c r="X137" s="1"/>
  <c r="C142"/>
  <c r="D142" s="1"/>
  <c r="X142" s="1"/>
  <c r="C147"/>
  <c r="D147" s="1"/>
  <c r="X147" s="1"/>
  <c r="C151"/>
  <c r="D151" s="1"/>
  <c r="X151" s="1"/>
  <c r="C155"/>
  <c r="D155" s="1"/>
  <c r="X155" s="1"/>
  <c r="C160"/>
  <c r="D160" s="1"/>
  <c r="X160" s="1"/>
  <c r="C164"/>
  <c r="D164" s="1"/>
  <c r="X164" s="1"/>
  <c r="C168"/>
  <c r="D168" s="1"/>
  <c r="X168" s="1"/>
  <c r="C172"/>
  <c r="D172" s="1"/>
  <c r="X172" s="1"/>
  <c r="C177"/>
  <c r="D177" s="1"/>
  <c r="X177" s="1"/>
  <c r="C181"/>
  <c r="D181" s="1"/>
  <c r="X181" s="1"/>
  <c r="C186"/>
  <c r="D186" s="1"/>
  <c r="X186" s="1"/>
  <c r="C190"/>
  <c r="D190" s="1"/>
  <c r="X190" s="1"/>
  <c r="C194"/>
  <c r="D194" s="1"/>
  <c r="X194" s="1"/>
  <c r="C198"/>
  <c r="D198" s="1"/>
  <c r="X198" s="1"/>
  <c r="C203"/>
  <c r="D203" s="1"/>
  <c r="X203" s="1"/>
  <c r="C207"/>
  <c r="D207" s="1"/>
  <c r="X207" s="1"/>
  <c r="C211"/>
  <c r="D211" s="1"/>
  <c r="X211" s="1"/>
  <c r="C216"/>
  <c r="D216" s="1"/>
  <c r="X216" s="1"/>
  <c r="C220"/>
  <c r="D220" s="1"/>
  <c r="X220" s="1"/>
  <c r="C224"/>
  <c r="D224" s="1"/>
  <c r="X224" s="1"/>
  <c r="C229"/>
  <c r="D229" s="1"/>
  <c r="X229" s="1"/>
  <c r="C233"/>
  <c r="D233" s="1"/>
  <c r="X233" s="1"/>
  <c r="C238"/>
  <c r="D238" s="1"/>
  <c r="X238" s="1"/>
  <c r="C242"/>
  <c r="D242" s="1"/>
  <c r="X242" s="1"/>
  <c r="C247"/>
  <c r="D247" s="1"/>
  <c r="X247" s="1"/>
  <c r="C251"/>
  <c r="D251" s="1"/>
  <c r="X251" s="1"/>
  <c r="C255"/>
  <c r="D255" s="1"/>
  <c r="X255" s="1"/>
  <c r="C259"/>
  <c r="D259" s="1"/>
  <c r="X259" s="1"/>
  <c r="C264"/>
  <c r="D264" s="1"/>
  <c r="X264" s="1"/>
  <c r="C268"/>
  <c r="D268" s="1"/>
  <c r="X268" s="1"/>
  <c r="C273"/>
  <c r="D273" s="1"/>
  <c r="X273" s="1"/>
  <c r="C277"/>
  <c r="D277" s="1"/>
  <c r="X277" s="1"/>
  <c r="C281"/>
  <c r="D281" s="1"/>
  <c r="X281" s="1"/>
  <c r="C285"/>
  <c r="D285" s="1"/>
  <c r="X285" s="1"/>
  <c r="C290"/>
  <c r="D290" s="1"/>
  <c r="X290" s="1"/>
  <c r="C294"/>
  <c r="D294" s="1"/>
  <c r="X294" s="1"/>
  <c r="C298"/>
  <c r="D298" s="1"/>
  <c r="X298" s="1"/>
  <c r="C302"/>
  <c r="D302" s="1"/>
  <c r="X302" s="1"/>
  <c r="C306"/>
  <c r="D306" s="1"/>
  <c r="X306" s="1"/>
  <c r="C310"/>
  <c r="D310" s="1"/>
  <c r="X310" s="1"/>
  <c r="C315"/>
  <c r="D315" s="1"/>
  <c r="X315" s="1"/>
  <c r="C319"/>
  <c r="D319" s="1"/>
  <c r="X319" s="1"/>
  <c r="C323"/>
  <c r="D323" s="1"/>
  <c r="X323" s="1"/>
  <c r="C327"/>
  <c r="D327" s="1"/>
  <c r="X327" s="1"/>
  <c r="C332"/>
  <c r="D332" s="1"/>
  <c r="X332" s="1"/>
  <c r="C336"/>
  <c r="D336" s="1"/>
  <c r="X336" s="1"/>
  <c r="C341"/>
  <c r="D341" s="1"/>
  <c r="X341" s="1"/>
  <c r="C345"/>
  <c r="D345" s="1"/>
  <c r="X345" s="1"/>
  <c r="C349"/>
  <c r="D349" s="1"/>
  <c r="X349" s="1"/>
  <c r="C354"/>
  <c r="D354" s="1"/>
  <c r="X354" s="1"/>
  <c r="C358"/>
  <c r="D358" s="1"/>
  <c r="X358" s="1"/>
  <c r="C362"/>
  <c r="D362" s="1"/>
  <c r="X362" s="1"/>
  <c r="C367"/>
  <c r="D367" s="1"/>
  <c r="X367" s="1"/>
  <c r="C371"/>
  <c r="D371" s="1"/>
  <c r="X371" s="1"/>
  <c r="C375"/>
  <c r="D375" s="1"/>
  <c r="X375" s="1"/>
  <c r="C13"/>
  <c r="D13" s="1"/>
  <c r="C30"/>
  <c r="D30" s="1"/>
  <c r="C7"/>
  <c r="D7" s="1"/>
  <c r="C15"/>
  <c r="D15" s="1"/>
  <c r="C24"/>
  <c r="D24" s="1"/>
  <c r="C32"/>
  <c r="D32" s="1"/>
  <c r="C40"/>
  <c r="D40" s="1"/>
  <c r="C55"/>
  <c r="D55" s="1"/>
  <c r="X55" s="1"/>
  <c r="C68"/>
  <c r="D68" s="1"/>
  <c r="X68" s="1"/>
  <c r="C77"/>
  <c r="D77" s="1"/>
  <c r="X77" s="1"/>
  <c r="C86"/>
  <c r="D86" s="1"/>
  <c r="X86" s="1"/>
  <c r="C95"/>
  <c r="D95" s="1"/>
  <c r="X95" s="1"/>
  <c r="C103"/>
  <c r="D103" s="1"/>
  <c r="X103" s="1"/>
  <c r="C112"/>
  <c r="D112" s="1"/>
  <c r="X112" s="1"/>
  <c r="C125"/>
  <c r="D125" s="1"/>
  <c r="X125" s="1"/>
  <c r="C134"/>
  <c r="D134" s="1"/>
  <c r="X134" s="1"/>
  <c r="C143"/>
  <c r="D143" s="1"/>
  <c r="X143" s="1"/>
  <c r="C152"/>
  <c r="D152" s="1"/>
  <c r="X152" s="1"/>
  <c r="C161"/>
  <c r="D161" s="1"/>
  <c r="X161" s="1"/>
  <c r="C165"/>
  <c r="D165" s="1"/>
  <c r="X165" s="1"/>
  <c r="C174"/>
  <c r="D174" s="1"/>
  <c r="X174" s="1"/>
  <c r="C178"/>
  <c r="D178" s="1"/>
  <c r="X178" s="1"/>
  <c r="C182"/>
  <c r="D182" s="1"/>
  <c r="X182" s="1"/>
  <c r="C187"/>
  <c r="D187" s="1"/>
  <c r="X187" s="1"/>
  <c r="C195"/>
  <c r="D195" s="1"/>
  <c r="X195" s="1"/>
  <c r="C200"/>
  <c r="D200" s="1"/>
  <c r="X200" s="1"/>
  <c r="C204"/>
  <c r="D204" s="1"/>
  <c r="X204" s="1"/>
  <c r="C208"/>
  <c r="D208" s="1"/>
  <c r="X208" s="1"/>
  <c r="C213"/>
  <c r="D213" s="1"/>
  <c r="X213" s="1"/>
  <c r="C217"/>
  <c r="D217" s="1"/>
  <c r="X217" s="1"/>
  <c r="C221"/>
  <c r="D221" s="1"/>
  <c r="X221" s="1"/>
  <c r="C225"/>
  <c r="D225" s="1"/>
  <c r="X225" s="1"/>
  <c r="C230"/>
  <c r="D230" s="1"/>
  <c r="X230" s="1"/>
  <c r="C234"/>
  <c r="D234" s="1"/>
  <c r="X234" s="1"/>
  <c r="C239"/>
  <c r="D239" s="1"/>
  <c r="X239" s="1"/>
  <c r="C243"/>
  <c r="D243" s="1"/>
  <c r="X243" s="1"/>
  <c r="C248"/>
  <c r="D248" s="1"/>
  <c r="X248" s="1"/>
  <c r="C252"/>
  <c r="D252" s="1"/>
  <c r="X252" s="1"/>
  <c r="C256"/>
  <c r="D256" s="1"/>
  <c r="X256" s="1"/>
  <c r="C260"/>
  <c r="D260" s="1"/>
  <c r="X260" s="1"/>
  <c r="C265"/>
  <c r="D265" s="1"/>
  <c r="X265" s="1"/>
  <c r="C270"/>
  <c r="D270" s="1"/>
  <c r="X270" s="1"/>
  <c r="C274"/>
  <c r="D274" s="1"/>
  <c r="X274" s="1"/>
  <c r="C278"/>
  <c r="D278" s="1"/>
  <c r="X278" s="1"/>
  <c r="C282"/>
  <c r="D282" s="1"/>
  <c r="X282" s="1"/>
  <c r="C286"/>
  <c r="D286" s="1"/>
  <c r="X286" s="1"/>
  <c r="C291"/>
  <c r="D291" s="1"/>
  <c r="X291" s="1"/>
  <c r="C295"/>
  <c r="D295" s="1"/>
  <c r="X295" s="1"/>
  <c r="C299"/>
  <c r="D299" s="1"/>
  <c r="X299" s="1"/>
  <c r="C303"/>
  <c r="D303" s="1"/>
  <c r="X303" s="1"/>
  <c r="C307"/>
  <c r="D307" s="1"/>
  <c r="X307" s="1"/>
  <c r="C311"/>
  <c r="D311" s="1"/>
  <c r="X311" s="1"/>
  <c r="C316"/>
  <c r="D316" s="1"/>
  <c r="X316" s="1"/>
  <c r="C320"/>
  <c r="D320" s="1"/>
  <c r="X320" s="1"/>
  <c r="C324"/>
  <c r="D324" s="1"/>
  <c r="X324" s="1"/>
  <c r="C329"/>
  <c r="D329" s="1"/>
  <c r="X329" s="1"/>
  <c r="C333"/>
  <c r="D333" s="1"/>
  <c r="X333" s="1"/>
  <c r="C337"/>
  <c r="D337" s="1"/>
  <c r="X337" s="1"/>
  <c r="C342"/>
  <c r="D342" s="1"/>
  <c r="X342" s="1"/>
  <c r="C346"/>
  <c r="D346" s="1"/>
  <c r="X346" s="1"/>
  <c r="C350"/>
  <c r="D350" s="1"/>
  <c r="X350" s="1"/>
  <c r="C355"/>
  <c r="D355" s="1"/>
  <c r="X355" s="1"/>
  <c r="C359"/>
  <c r="D359" s="1"/>
  <c r="X359" s="1"/>
  <c r="C363"/>
  <c r="D363" s="1"/>
  <c r="X363" s="1"/>
  <c r="C368"/>
  <c r="D368" s="1"/>
  <c r="X368" s="1"/>
  <c r="C372"/>
  <c r="D372" s="1"/>
  <c r="X372" s="1"/>
  <c r="C376"/>
  <c r="D376" s="1"/>
  <c r="X376" s="1"/>
  <c r="D45" i="7"/>
  <c r="P45"/>
  <c r="C6"/>
  <c r="C377" s="1"/>
  <c r="B6"/>
  <c r="B377" s="1"/>
  <c r="AG375" l="1"/>
  <c r="B375" i="8" s="1"/>
  <c r="AG358" i="7"/>
  <c r="B358" i="8" s="1"/>
  <c r="AG341" i="7"/>
  <c r="B341" i="8" s="1"/>
  <c r="AG323" i="7"/>
  <c r="B323" i="8" s="1"/>
  <c r="AG306" i="7"/>
  <c r="B306" i="8" s="1"/>
  <c r="AG290" i="7"/>
  <c r="B290" i="8" s="1"/>
  <c r="AG273" i="7"/>
  <c r="B273" i="8" s="1"/>
  <c r="AG255" i="7"/>
  <c r="B255" i="8" s="1"/>
  <c r="AG238" i="7"/>
  <c r="B238" i="8" s="1"/>
  <c r="AG220" i="7"/>
  <c r="B220" i="8" s="1"/>
  <c r="AG203" i="7"/>
  <c r="B203" i="8" s="1"/>
  <c r="AG194" i="7"/>
  <c r="B194" i="8" s="1"/>
  <c r="AG177" i="7"/>
  <c r="B177" i="8" s="1"/>
  <c r="AG160" i="7"/>
  <c r="B160" i="8" s="1"/>
  <c r="AG142" i="7"/>
  <c r="B142" i="8" s="1"/>
  <c r="AG124" i="7"/>
  <c r="B124" i="8" s="1"/>
  <c r="AG107" i="7"/>
  <c r="B107" i="8" s="1"/>
  <c r="AG89" i="7"/>
  <c r="B89" i="8" s="1"/>
  <c r="AG62" i="7"/>
  <c r="B62" i="8" s="1"/>
  <c r="AG376" i="7"/>
  <c r="B376" i="8" s="1"/>
  <c r="AG368" i="7"/>
  <c r="B368" i="8" s="1"/>
  <c r="AG359" i="7"/>
  <c r="B359" i="8" s="1"/>
  <c r="AG350" i="7"/>
  <c r="B350" i="8" s="1"/>
  <c r="AG342" i="7"/>
  <c r="B342" i="8" s="1"/>
  <c r="AG333" i="7"/>
  <c r="B333" i="8" s="1"/>
  <c r="AG324" i="7"/>
  <c r="B324" i="8" s="1"/>
  <c r="AG316" i="7"/>
  <c r="B316" i="8" s="1"/>
  <c r="AG307" i="7"/>
  <c r="B307" i="8" s="1"/>
  <c r="AG299" i="7"/>
  <c r="B299" i="8" s="1"/>
  <c r="AG291" i="7"/>
  <c r="B291" i="8" s="1"/>
  <c r="AG282" i="7"/>
  <c r="B282" i="8" s="1"/>
  <c r="AG274" i="7"/>
  <c r="B274" i="8" s="1"/>
  <c r="AG265" i="7"/>
  <c r="B265" i="8" s="1"/>
  <c r="AG256" i="7"/>
  <c r="B256" i="8" s="1"/>
  <c r="AG248" i="7"/>
  <c r="B248" i="8" s="1"/>
  <c r="AG239" i="7"/>
  <c r="B239" i="8" s="1"/>
  <c r="AG230" i="7"/>
  <c r="B230" i="8" s="1"/>
  <c r="AG221" i="7"/>
  <c r="B221" i="8" s="1"/>
  <c r="AG213" i="7"/>
  <c r="B213" i="8" s="1"/>
  <c r="AG204" i="7"/>
  <c r="B204" i="8" s="1"/>
  <c r="AG195" i="7"/>
  <c r="B195" i="8" s="1"/>
  <c r="AG182" i="7"/>
  <c r="B182" i="8" s="1"/>
  <c r="AG174" i="7"/>
  <c r="B174" i="8" s="1"/>
  <c r="AG161" i="7"/>
  <c r="B161" i="8" s="1"/>
  <c r="AG143" i="7"/>
  <c r="B143" i="8" s="1"/>
  <c r="AG125" i="7"/>
  <c r="B125" i="8" s="1"/>
  <c r="AG103" i="7"/>
  <c r="B103" i="8" s="1"/>
  <c r="AG86" i="7"/>
  <c r="B86" i="8" s="1"/>
  <c r="AG68" i="7"/>
  <c r="B68" i="8" s="1"/>
  <c r="AG40" i="7"/>
  <c r="B40" i="8" s="1"/>
  <c r="AG24" i="7"/>
  <c r="B24" i="8" s="1"/>
  <c r="AF6" i="7"/>
  <c r="AG13"/>
  <c r="B13" i="8" s="1"/>
  <c r="AG169" i="7"/>
  <c r="B169" i="8" s="1"/>
  <c r="AG148" i="7"/>
  <c r="B148" i="8" s="1"/>
  <c r="AG130" i="7"/>
  <c r="B130" i="8" s="1"/>
  <c r="AG116" i="7"/>
  <c r="B116" i="8" s="1"/>
  <c r="AG99" i="7"/>
  <c r="B99" i="8" s="1"/>
  <c r="AG82" i="7"/>
  <c r="B82" i="8" s="1"/>
  <c r="AG63" i="7"/>
  <c r="B63" i="8" s="1"/>
  <c r="AG50" i="7"/>
  <c r="B50" i="8" s="1"/>
  <c r="AG36" i="7"/>
  <c r="B36" i="8" s="1"/>
  <c r="AG20" i="7"/>
  <c r="B20" i="8" s="1"/>
  <c r="AG34" i="7"/>
  <c r="B34" i="8" s="1"/>
  <c r="AG362" i="7"/>
  <c r="B362" i="8" s="1"/>
  <c r="AG345" i="7"/>
  <c r="B345" i="8" s="1"/>
  <c r="AG327" i="7"/>
  <c r="B327" i="8" s="1"/>
  <c r="AG310" i="7"/>
  <c r="B310" i="8" s="1"/>
  <c r="AG294" i="7"/>
  <c r="B294" i="8" s="1"/>
  <c r="AG277" i="7"/>
  <c r="B277" i="8" s="1"/>
  <c r="AG259" i="7"/>
  <c r="B259" i="8" s="1"/>
  <c r="AG242" i="7"/>
  <c r="B242" i="8" s="1"/>
  <c r="AG224" i="7"/>
  <c r="B224" i="8" s="1"/>
  <c r="AG207" i="7"/>
  <c r="B207" i="8" s="1"/>
  <c r="AG181" i="7"/>
  <c r="B181" i="8" s="1"/>
  <c r="AG164" i="7"/>
  <c r="B164" i="8" s="1"/>
  <c r="AG147" i="7"/>
  <c r="B147" i="8" s="1"/>
  <c r="AG128" i="7"/>
  <c r="B128" i="8" s="1"/>
  <c r="AG111" i="7"/>
  <c r="B111" i="8" s="1"/>
  <c r="AG94" i="7"/>
  <c r="B94" i="8" s="1"/>
  <c r="AG76" i="7"/>
  <c r="B76" i="8" s="1"/>
  <c r="AG67" i="7"/>
  <c r="B67" i="8" s="1"/>
  <c r="AG58" i="7"/>
  <c r="B58" i="8" s="1"/>
  <c r="AG49" i="7"/>
  <c r="B49" i="8" s="1"/>
  <c r="AG39" i="7"/>
  <c r="B39" i="8" s="1"/>
  <c r="AG31" i="7"/>
  <c r="B31" i="8" s="1"/>
  <c r="AG23" i="7"/>
  <c r="B23" i="8" s="1"/>
  <c r="AG14" i="7"/>
  <c r="B14" i="8" s="1"/>
  <c r="AG132" i="7"/>
  <c r="B132" i="8" s="1"/>
  <c r="AG110" i="7"/>
  <c r="B110" i="8" s="1"/>
  <c r="AG97" i="7"/>
  <c r="B97" i="8" s="1"/>
  <c r="AG79" i="7"/>
  <c r="B79" i="8" s="1"/>
  <c r="AG65" i="7"/>
  <c r="B65" i="8" s="1"/>
  <c r="AG48" i="7"/>
  <c r="B48" i="8" s="1"/>
  <c r="AG22" i="7"/>
  <c r="B22" i="8" s="1"/>
  <c r="AG370" i="7"/>
  <c r="B370" i="8" s="1"/>
  <c r="AG361" i="7"/>
  <c r="B361" i="8" s="1"/>
  <c r="AG353" i="7"/>
  <c r="B353" i="8" s="1"/>
  <c r="AG344" i="7"/>
  <c r="B344" i="8" s="1"/>
  <c r="AG335" i="7"/>
  <c r="B335" i="8" s="1"/>
  <c r="AG326" i="7"/>
  <c r="B326" i="8" s="1"/>
  <c r="AG318" i="7"/>
  <c r="B318" i="8" s="1"/>
  <c r="AG309" i="7"/>
  <c r="B309" i="8" s="1"/>
  <c r="AG301" i="7"/>
  <c r="B301" i="8" s="1"/>
  <c r="AG293" i="7"/>
  <c r="B293" i="8" s="1"/>
  <c r="AG284" i="7"/>
  <c r="B284" i="8" s="1"/>
  <c r="AG276" i="7"/>
  <c r="B276" i="8" s="1"/>
  <c r="AG267" i="7"/>
  <c r="B267" i="8" s="1"/>
  <c r="AG258" i="7"/>
  <c r="B258" i="8" s="1"/>
  <c r="AG250" i="7"/>
  <c r="B250" i="8" s="1"/>
  <c r="AG241" i="7"/>
  <c r="B241" i="8" s="1"/>
  <c r="AG232" i="7"/>
  <c r="B232" i="8" s="1"/>
  <c r="AG223" i="7"/>
  <c r="B223" i="8" s="1"/>
  <c r="AG215" i="7"/>
  <c r="B215" i="8" s="1"/>
  <c r="AG206" i="7"/>
  <c r="B206" i="8" s="1"/>
  <c r="AG197" i="7"/>
  <c r="B197" i="8" s="1"/>
  <c r="AG189" i="7"/>
  <c r="B189" i="8" s="1"/>
  <c r="AG180" i="7"/>
  <c r="B180" i="8" s="1"/>
  <c r="AG171" i="7"/>
  <c r="B171" i="8" s="1"/>
  <c r="AG163" i="7"/>
  <c r="B163" i="8" s="1"/>
  <c r="AG154" i="7"/>
  <c r="B154" i="8" s="1"/>
  <c r="AG145" i="7"/>
  <c r="B145" i="8" s="1"/>
  <c r="AG136" i="7"/>
  <c r="B136" i="8" s="1"/>
  <c r="AG123" i="7"/>
  <c r="B123" i="8" s="1"/>
  <c r="AG101" i="7"/>
  <c r="B101" i="8" s="1"/>
  <c r="AG84" i="7"/>
  <c r="B84" i="8" s="1"/>
  <c r="AG61" i="7"/>
  <c r="B61" i="8" s="1"/>
  <c r="AG42" i="7"/>
  <c r="B42" i="8" s="1"/>
  <c r="AG9" i="7"/>
  <c r="B9" i="8" s="1"/>
  <c r="AG369" i="7"/>
  <c r="B369" i="8" s="1"/>
  <c r="AG360" i="7"/>
  <c r="B360" i="8" s="1"/>
  <c r="AG351" i="7"/>
  <c r="B351" i="8" s="1"/>
  <c r="AG343" i="7"/>
  <c r="B343" i="8" s="1"/>
  <c r="AG334" i="7"/>
  <c r="B334" i="8" s="1"/>
  <c r="AG325" i="7"/>
  <c r="B325" i="8" s="1"/>
  <c r="AG317" i="7"/>
  <c r="B317" i="8" s="1"/>
  <c r="AG308" i="7"/>
  <c r="B308" i="8" s="1"/>
  <c r="AG300" i="7"/>
  <c r="B300" i="8" s="1"/>
  <c r="AG292" i="7"/>
  <c r="B292" i="8" s="1"/>
  <c r="AG283" i="7"/>
  <c r="B283" i="8" s="1"/>
  <c r="AG275" i="7"/>
  <c r="B275" i="8" s="1"/>
  <c r="AG266" i="7"/>
  <c r="B266" i="8" s="1"/>
  <c r="AG257" i="7"/>
  <c r="B257" i="8" s="1"/>
  <c r="AG249" i="7"/>
  <c r="B249" i="8" s="1"/>
  <c r="AG240" i="7"/>
  <c r="B240" i="8" s="1"/>
  <c r="AG231" i="7"/>
  <c r="B231" i="8" s="1"/>
  <c r="AG222" i="7"/>
  <c r="B222" i="8" s="1"/>
  <c r="AG214" i="7"/>
  <c r="B214" i="8" s="1"/>
  <c r="AG205" i="7"/>
  <c r="B205" i="8" s="1"/>
  <c r="AG196" i="7"/>
  <c r="B196" i="8" s="1"/>
  <c r="AG188" i="7"/>
  <c r="B188" i="8" s="1"/>
  <c r="AG179" i="7"/>
  <c r="B179" i="8" s="1"/>
  <c r="AG170" i="7"/>
  <c r="B170" i="8" s="1"/>
  <c r="AG162" i="7"/>
  <c r="B162" i="8" s="1"/>
  <c r="AG153" i="7"/>
  <c r="B153" i="8" s="1"/>
  <c r="AG144" i="7"/>
  <c r="B144" i="8" s="1"/>
  <c r="AG135" i="7"/>
  <c r="B135" i="8" s="1"/>
  <c r="AG126" i="7"/>
  <c r="B126" i="8" s="1"/>
  <c r="AG117" i="7"/>
  <c r="B117" i="8" s="1"/>
  <c r="AG109" i="7"/>
  <c r="B109" i="8" s="1"/>
  <c r="AG100" i="7"/>
  <c r="B100" i="8" s="1"/>
  <c r="AG92" i="7"/>
  <c r="B92" i="8" s="1"/>
  <c r="AG83" i="7"/>
  <c r="B83" i="8" s="1"/>
  <c r="AG74" i="7"/>
  <c r="B74" i="8" s="1"/>
  <c r="AG64" i="7"/>
  <c r="B64" i="8" s="1"/>
  <c r="AG56" i="7"/>
  <c r="B56" i="8" s="1"/>
  <c r="AF45" i="7"/>
  <c r="AG47"/>
  <c r="AG37"/>
  <c r="B37" i="8" s="1"/>
  <c r="AG29" i="7"/>
  <c r="B29" i="8" s="1"/>
  <c r="B21"/>
  <c r="AG12" i="7"/>
  <c r="B12" i="8" s="1"/>
  <c r="AG371" i="7"/>
  <c r="B371" i="8" s="1"/>
  <c r="AG354" i="7"/>
  <c r="B354" i="8" s="1"/>
  <c r="AG336" i="7"/>
  <c r="B336" i="8" s="1"/>
  <c r="AG319" i="7"/>
  <c r="B319" i="8" s="1"/>
  <c r="AG302" i="7"/>
  <c r="B302" i="8" s="1"/>
  <c r="AG285" i="7"/>
  <c r="B285" i="8" s="1"/>
  <c r="AG268" i="7"/>
  <c r="B268" i="8" s="1"/>
  <c r="AG251" i="7"/>
  <c r="B251" i="8" s="1"/>
  <c r="AG233" i="7"/>
  <c r="B233" i="8" s="1"/>
  <c r="AG216" i="7"/>
  <c r="B216" i="8" s="1"/>
  <c r="AG198" i="7"/>
  <c r="B198" i="8" s="1"/>
  <c r="AG190" i="7"/>
  <c r="B190" i="8" s="1"/>
  <c r="AG172" i="7"/>
  <c r="B172" i="8" s="1"/>
  <c r="AG155" i="7"/>
  <c r="B155" i="8" s="1"/>
  <c r="AG137" i="7"/>
  <c r="B137" i="8" s="1"/>
  <c r="AG119" i="7"/>
  <c r="B119" i="8" s="1"/>
  <c r="AG102" i="7"/>
  <c r="B102" i="8" s="1"/>
  <c r="AG85" i="7"/>
  <c r="B85" i="8" s="1"/>
  <c r="AG372" i="7"/>
  <c r="B372" i="8" s="1"/>
  <c r="AG363" i="7"/>
  <c r="B363" i="8" s="1"/>
  <c r="AG355" i="7"/>
  <c r="B355" i="8" s="1"/>
  <c r="AG346" i="7"/>
  <c r="B346" i="8" s="1"/>
  <c r="AG337" i="7"/>
  <c r="B337" i="8" s="1"/>
  <c r="AG329" i="7"/>
  <c r="B329" i="8" s="1"/>
  <c r="AG320" i="7"/>
  <c r="B320" i="8" s="1"/>
  <c r="AG311" i="7"/>
  <c r="B311" i="8" s="1"/>
  <c r="AG303" i="7"/>
  <c r="B303" i="8" s="1"/>
  <c r="AG295" i="7"/>
  <c r="B295" i="8" s="1"/>
  <c r="AG286" i="7"/>
  <c r="B286" i="8" s="1"/>
  <c r="AG278" i="7"/>
  <c r="B278" i="8" s="1"/>
  <c r="AG270" i="7"/>
  <c r="B270" i="8" s="1"/>
  <c r="AG260" i="7"/>
  <c r="B260" i="8" s="1"/>
  <c r="AG252" i="7"/>
  <c r="B252" i="8" s="1"/>
  <c r="AG243" i="7"/>
  <c r="B243" i="8" s="1"/>
  <c r="AG234" i="7"/>
  <c r="B234" i="8" s="1"/>
  <c r="AG225" i="7"/>
  <c r="B225" i="8" s="1"/>
  <c r="AG217" i="7"/>
  <c r="B217" i="8" s="1"/>
  <c r="AG208" i="7"/>
  <c r="B208" i="8" s="1"/>
  <c r="AG200" i="7"/>
  <c r="B200" i="8" s="1"/>
  <c r="AG187" i="7"/>
  <c r="B187" i="8" s="1"/>
  <c r="AG178" i="7"/>
  <c r="B178" i="8" s="1"/>
  <c r="AG165" i="7"/>
  <c r="B165" i="8" s="1"/>
  <c r="AG152" i="7"/>
  <c r="B152" i="8" s="1"/>
  <c r="AG134" i="7"/>
  <c r="B134" i="8" s="1"/>
  <c r="AG112" i="7"/>
  <c r="B112" i="8" s="1"/>
  <c r="AG95" i="7"/>
  <c r="B95" i="8" s="1"/>
  <c r="AG77" i="7"/>
  <c r="B77" i="8" s="1"/>
  <c r="AG55" i="7"/>
  <c r="B55" i="8" s="1"/>
  <c r="AG32" i="7"/>
  <c r="B32" i="8" s="1"/>
  <c r="AG15" i="7"/>
  <c r="B15" i="8" s="1"/>
  <c r="AG30" i="7"/>
  <c r="B30" i="8" s="1"/>
  <c r="AG191" i="7"/>
  <c r="B191" i="8" s="1"/>
  <c r="AG156" i="7"/>
  <c r="B156" i="8" s="1"/>
  <c r="AG138" i="7"/>
  <c r="B138" i="8" s="1"/>
  <c r="AG120" i="7"/>
  <c r="B120" i="8" s="1"/>
  <c r="AG108" i="7"/>
  <c r="B108" i="8" s="1"/>
  <c r="AG90" i="7"/>
  <c r="B90" i="8" s="1"/>
  <c r="AG73" i="7"/>
  <c r="B73" i="8" s="1"/>
  <c r="AG59" i="7"/>
  <c r="B59" i="8" s="1"/>
  <c r="AG44" i="7"/>
  <c r="B44" i="8" s="1"/>
  <c r="AG28" i="7"/>
  <c r="B28" i="8" s="1"/>
  <c r="AG11" i="7"/>
  <c r="B11" i="8" s="1"/>
  <c r="AG18" i="7"/>
  <c r="AF17"/>
  <c r="AG367"/>
  <c r="B367" i="8" s="1"/>
  <c r="AG349" i="7"/>
  <c r="B349" i="8" s="1"/>
  <c r="AG332" i="7"/>
  <c r="B332" i="8" s="1"/>
  <c r="AG315" i="7"/>
  <c r="B315" i="8" s="1"/>
  <c r="AG298" i="7"/>
  <c r="B298" i="8" s="1"/>
  <c r="AG281" i="7"/>
  <c r="B281" i="8" s="1"/>
  <c r="AG264" i="7"/>
  <c r="B264" i="8" s="1"/>
  <c r="AG247" i="7"/>
  <c r="B247" i="8" s="1"/>
  <c r="AG229" i="7"/>
  <c r="B229" i="8" s="1"/>
  <c r="AG211" i="7"/>
  <c r="B211" i="8" s="1"/>
  <c r="AG186" i="7"/>
  <c r="B186" i="8" s="1"/>
  <c r="AG168" i="7"/>
  <c r="B168" i="8" s="1"/>
  <c r="AG151" i="7"/>
  <c r="B151" i="8" s="1"/>
  <c r="AG133" i="7"/>
  <c r="B133" i="8" s="1"/>
  <c r="AG115" i="7"/>
  <c r="B115" i="8" s="1"/>
  <c r="AG98" i="7"/>
  <c r="B98" i="8" s="1"/>
  <c r="AG80" i="7"/>
  <c r="B80" i="8" s="1"/>
  <c r="AG71" i="7"/>
  <c r="B71" i="8" s="1"/>
  <c r="AG54" i="7"/>
  <c r="B54" i="8" s="1"/>
  <c r="AG43" i="7"/>
  <c r="B43" i="8" s="1"/>
  <c r="AG35" i="7"/>
  <c r="B35" i="8" s="1"/>
  <c r="AG27" i="7"/>
  <c r="B27" i="8" s="1"/>
  <c r="AG19" i="7"/>
  <c r="B19" i="8" s="1"/>
  <c r="AG10" i="7"/>
  <c r="B10" i="8" s="1"/>
  <c r="AG118" i="7"/>
  <c r="B118" i="8" s="1"/>
  <c r="AG106" i="7"/>
  <c r="B106" i="8" s="1"/>
  <c r="AG88" i="7"/>
  <c r="B88" i="8" s="1"/>
  <c r="AG70" i="7"/>
  <c r="B70" i="8" s="1"/>
  <c r="AG57" i="7"/>
  <c r="B57" i="8" s="1"/>
  <c r="AG38" i="7"/>
  <c r="B38" i="8" s="1"/>
  <c r="AG374" i="7"/>
  <c r="B374" i="8" s="1"/>
  <c r="AG366" i="7"/>
  <c r="B366" i="8" s="1"/>
  <c r="AG357" i="7"/>
  <c r="B357" i="8" s="1"/>
  <c r="AG348" i="7"/>
  <c r="B348" i="8" s="1"/>
  <c r="AG339" i="7"/>
  <c r="B339" i="8" s="1"/>
  <c r="AG331" i="7"/>
  <c r="B331" i="8" s="1"/>
  <c r="AG322" i="7"/>
  <c r="B322" i="8" s="1"/>
  <c r="AG314" i="7"/>
  <c r="B314" i="8" s="1"/>
  <c r="AG305" i="7"/>
  <c r="B305" i="8" s="1"/>
  <c r="AG297" i="7"/>
  <c r="B297" i="8" s="1"/>
  <c r="AG289" i="7"/>
  <c r="B289" i="8" s="1"/>
  <c r="AG280" i="7"/>
  <c r="B280" i="8" s="1"/>
  <c r="AG272" i="7"/>
  <c r="B272" i="8" s="1"/>
  <c r="AG263" i="7"/>
  <c r="B263" i="8" s="1"/>
  <c r="AG254" i="7"/>
  <c r="B254" i="8" s="1"/>
  <c r="AG246" i="7"/>
  <c r="B246" i="8" s="1"/>
  <c r="AG237" i="7"/>
  <c r="B237" i="8" s="1"/>
  <c r="AG228" i="7"/>
  <c r="B228" i="8" s="1"/>
  <c r="AG219" i="7"/>
  <c r="B219" i="8" s="1"/>
  <c r="AG210" i="7"/>
  <c r="B210" i="8" s="1"/>
  <c r="AG202" i="7"/>
  <c r="B202" i="8" s="1"/>
  <c r="AG193" i="7"/>
  <c r="B193" i="8" s="1"/>
  <c r="AG184" i="7"/>
  <c r="B184" i="8" s="1"/>
  <c r="AG176" i="7"/>
  <c r="B176" i="8" s="1"/>
  <c r="AG167" i="7"/>
  <c r="B167" i="8" s="1"/>
  <c r="AG158" i="7"/>
  <c r="B158" i="8" s="1"/>
  <c r="AG150" i="7"/>
  <c r="B150" i="8" s="1"/>
  <c r="AG141" i="7"/>
  <c r="B141" i="8" s="1"/>
  <c r="AG127" i="7"/>
  <c r="B127" i="8" s="1"/>
  <c r="AG114" i="7"/>
  <c r="B114" i="8" s="1"/>
  <c r="AG93" i="7"/>
  <c r="B93" i="8" s="1"/>
  <c r="AG75" i="7"/>
  <c r="B75" i="8" s="1"/>
  <c r="B53"/>
  <c r="AG26" i="7"/>
  <c r="B26" i="8" s="1"/>
  <c r="AG373" i="7"/>
  <c r="B373" i="8" s="1"/>
  <c r="AG365" i="7"/>
  <c r="B365" i="8" s="1"/>
  <c r="AG356" i="7"/>
  <c r="B356" i="8" s="1"/>
  <c r="AG347" i="7"/>
  <c r="B347" i="8" s="1"/>
  <c r="AG338" i="7"/>
  <c r="B338" i="8" s="1"/>
  <c r="AG330" i="7"/>
  <c r="B330" i="8" s="1"/>
  <c r="AG321" i="7"/>
  <c r="B321" i="8" s="1"/>
  <c r="AG313" i="7"/>
  <c r="B313" i="8" s="1"/>
  <c r="AG304" i="7"/>
  <c r="B304" i="8" s="1"/>
  <c r="AG296" i="7"/>
  <c r="B296" i="8" s="1"/>
  <c r="AG288" i="7"/>
  <c r="B288" i="8" s="1"/>
  <c r="AG279" i="7"/>
  <c r="B279" i="8" s="1"/>
  <c r="AG271" i="7"/>
  <c r="B271" i="8" s="1"/>
  <c r="AG262" i="7"/>
  <c r="B262" i="8" s="1"/>
  <c r="AG253" i="7"/>
  <c r="B253" i="8" s="1"/>
  <c r="AG244" i="7"/>
  <c r="B244" i="8" s="1"/>
  <c r="AG235" i="7"/>
  <c r="B235" i="8" s="1"/>
  <c r="AG227" i="7"/>
  <c r="B227" i="8" s="1"/>
  <c r="AG218" i="7"/>
  <c r="B218" i="8" s="1"/>
  <c r="AG209" i="7"/>
  <c r="B209" i="8" s="1"/>
  <c r="AG201" i="7"/>
  <c r="B201" i="8" s="1"/>
  <c r="AG192" i="7"/>
  <c r="B192" i="8" s="1"/>
  <c r="AG183" i="7"/>
  <c r="B183" i="8" s="1"/>
  <c r="AG175" i="7"/>
  <c r="B175" i="8" s="1"/>
  <c r="AG166" i="7"/>
  <c r="B166" i="8" s="1"/>
  <c r="AG157" i="7"/>
  <c r="B157" i="8" s="1"/>
  <c r="AG149" i="7"/>
  <c r="B149" i="8" s="1"/>
  <c r="AG140" i="7"/>
  <c r="B140" i="8" s="1"/>
  <c r="AG131" i="7"/>
  <c r="B131" i="8" s="1"/>
  <c r="AG122" i="7"/>
  <c r="B122" i="8" s="1"/>
  <c r="AG113" i="7"/>
  <c r="B113" i="8" s="1"/>
  <c r="AG104" i="7"/>
  <c r="B104" i="8" s="1"/>
  <c r="AG96" i="7"/>
  <c r="B96" i="8" s="1"/>
  <c r="AG87" i="7"/>
  <c r="B87" i="8" s="1"/>
  <c r="AG78" i="7"/>
  <c r="B78" i="8" s="1"/>
  <c r="AG69" i="7"/>
  <c r="B69" i="8" s="1"/>
  <c r="AG60" i="7"/>
  <c r="B60" i="8" s="1"/>
  <c r="AG51" i="7"/>
  <c r="B51" i="8" s="1"/>
  <c r="AG41" i="7"/>
  <c r="B41" i="8" s="1"/>
  <c r="AG33" i="7"/>
  <c r="B33" i="8" s="1"/>
  <c r="AG25" i="7"/>
  <c r="B25" i="8" s="1"/>
  <c r="AG16" i="7"/>
  <c r="B16" i="8" s="1"/>
  <c r="AG8" i="7"/>
  <c r="B8" i="8" s="1"/>
  <c r="Q8" l="1"/>
  <c r="K8"/>
  <c r="E8"/>
  <c r="N8"/>
  <c r="Q16"/>
  <c r="K16"/>
  <c r="E16"/>
  <c r="N16"/>
  <c r="T25"/>
  <c r="W25"/>
  <c r="Q25"/>
  <c r="K25"/>
  <c r="E25"/>
  <c r="N25"/>
  <c r="T33"/>
  <c r="W33"/>
  <c r="Q33"/>
  <c r="K33"/>
  <c r="E33"/>
  <c r="N33"/>
  <c r="T41"/>
  <c r="W41"/>
  <c r="Q41"/>
  <c r="K41"/>
  <c r="E41"/>
  <c r="N41"/>
  <c r="T51"/>
  <c r="W51"/>
  <c r="Q51"/>
  <c r="E51"/>
  <c r="N51"/>
  <c r="T60"/>
  <c r="W60"/>
  <c r="Q60"/>
  <c r="E60"/>
  <c r="N60"/>
  <c r="T69"/>
  <c r="W69"/>
  <c r="Q69"/>
  <c r="E69"/>
  <c r="N69"/>
  <c r="T78"/>
  <c r="W78"/>
  <c r="Q78"/>
  <c r="E78"/>
  <c r="N78"/>
  <c r="W87"/>
  <c r="T87"/>
  <c r="Q87"/>
  <c r="E87"/>
  <c r="N87"/>
  <c r="W96"/>
  <c r="T96"/>
  <c r="Q96"/>
  <c r="E96"/>
  <c r="N96"/>
  <c r="W104"/>
  <c r="T104"/>
  <c r="Q104"/>
  <c r="E104"/>
  <c r="N104"/>
  <c r="W113"/>
  <c r="T113"/>
  <c r="Q113"/>
  <c r="E113"/>
  <c r="N113"/>
  <c r="W122"/>
  <c r="T122"/>
  <c r="Q122"/>
  <c r="E122"/>
  <c r="N122"/>
  <c r="W131"/>
  <c r="T131"/>
  <c r="Q131"/>
  <c r="E131"/>
  <c r="N131"/>
  <c r="W140"/>
  <c r="T140"/>
  <c r="Q140"/>
  <c r="E140"/>
  <c r="N140"/>
  <c r="W149"/>
  <c r="T149"/>
  <c r="Q149"/>
  <c r="E149"/>
  <c r="N149"/>
  <c r="W157"/>
  <c r="T157"/>
  <c r="N157"/>
  <c r="Q157"/>
  <c r="E157"/>
  <c r="W166"/>
  <c r="T166"/>
  <c r="N166"/>
  <c r="Q166"/>
  <c r="E166"/>
  <c r="W175"/>
  <c r="T175"/>
  <c r="N175"/>
  <c r="Q175"/>
  <c r="E175"/>
  <c r="W183"/>
  <c r="T183"/>
  <c r="N183"/>
  <c r="Q183"/>
  <c r="E183"/>
  <c r="W192"/>
  <c r="T192"/>
  <c r="N192"/>
  <c r="Q192"/>
  <c r="E192"/>
  <c r="W201"/>
  <c r="T201"/>
  <c r="N201"/>
  <c r="Q201"/>
  <c r="E201"/>
  <c r="W209"/>
  <c r="T209"/>
  <c r="N209"/>
  <c r="Q209"/>
  <c r="E209"/>
  <c r="W218"/>
  <c r="T218"/>
  <c r="N218"/>
  <c r="Q218"/>
  <c r="E218"/>
  <c r="W227"/>
  <c r="T227"/>
  <c r="N227"/>
  <c r="Q227"/>
  <c r="E227"/>
  <c r="W235"/>
  <c r="T235"/>
  <c r="N235"/>
  <c r="Q235"/>
  <c r="E235"/>
  <c r="W244"/>
  <c r="T244"/>
  <c r="N244"/>
  <c r="Q244"/>
  <c r="E244"/>
  <c r="W253"/>
  <c r="T253"/>
  <c r="N253"/>
  <c r="Q253"/>
  <c r="E253"/>
  <c r="W262"/>
  <c r="T262"/>
  <c r="N262"/>
  <c r="Q262"/>
  <c r="E262"/>
  <c r="W271"/>
  <c r="T271"/>
  <c r="N271"/>
  <c r="Q271"/>
  <c r="E271"/>
  <c r="W279"/>
  <c r="T279"/>
  <c r="N279"/>
  <c r="Q279"/>
  <c r="E279"/>
  <c r="W288"/>
  <c r="T288"/>
  <c r="N288"/>
  <c r="Q288"/>
  <c r="E288"/>
  <c r="W296"/>
  <c r="T296"/>
  <c r="N296"/>
  <c r="Q296"/>
  <c r="E296"/>
  <c r="W304"/>
  <c r="T304"/>
  <c r="N304"/>
  <c r="Q304"/>
  <c r="E304"/>
  <c r="W313"/>
  <c r="T313"/>
  <c r="N313"/>
  <c r="Q313"/>
  <c r="E313"/>
  <c r="W321"/>
  <c r="T321"/>
  <c r="N321"/>
  <c r="Q321"/>
  <c r="E321"/>
  <c r="W330"/>
  <c r="T330"/>
  <c r="N330"/>
  <c r="Q330"/>
  <c r="E330"/>
  <c r="W338"/>
  <c r="T338"/>
  <c r="N338"/>
  <c r="Q338"/>
  <c r="E338"/>
  <c r="W347"/>
  <c r="T347"/>
  <c r="N347"/>
  <c r="Q347"/>
  <c r="E347"/>
  <c r="W356"/>
  <c r="T356"/>
  <c r="N356"/>
  <c r="Q356"/>
  <c r="E356"/>
  <c r="W365"/>
  <c r="T365"/>
  <c r="N365"/>
  <c r="Q365"/>
  <c r="E365"/>
  <c r="W373"/>
  <c r="T373"/>
  <c r="N373"/>
  <c r="Q373"/>
  <c r="E373"/>
  <c r="W26"/>
  <c r="Q26"/>
  <c r="T26"/>
  <c r="N26"/>
  <c r="K26"/>
  <c r="E26"/>
  <c r="W53"/>
  <c r="Q53"/>
  <c r="T53"/>
  <c r="N53"/>
  <c r="E53"/>
  <c r="W75"/>
  <c r="Q75"/>
  <c r="T75"/>
  <c r="N75"/>
  <c r="E75"/>
  <c r="W93"/>
  <c r="Q93"/>
  <c r="T93"/>
  <c r="N93"/>
  <c r="E93"/>
  <c r="W114"/>
  <c r="Q114"/>
  <c r="T114"/>
  <c r="N114"/>
  <c r="E114"/>
  <c r="W127"/>
  <c r="Q127"/>
  <c r="T127"/>
  <c r="N127"/>
  <c r="E127"/>
  <c r="W141"/>
  <c r="Q141"/>
  <c r="T141"/>
  <c r="N141"/>
  <c r="E141"/>
  <c r="W150"/>
  <c r="Q150"/>
  <c r="T150"/>
  <c r="N150"/>
  <c r="E150"/>
  <c r="W158"/>
  <c r="Q158"/>
  <c r="T158"/>
  <c r="N158"/>
  <c r="E158"/>
  <c r="W167"/>
  <c r="Q167"/>
  <c r="T167"/>
  <c r="N167"/>
  <c r="E167"/>
  <c r="W176"/>
  <c r="Q176"/>
  <c r="T176"/>
  <c r="N176"/>
  <c r="E176"/>
  <c r="W184"/>
  <c r="Q184"/>
  <c r="T184"/>
  <c r="N184"/>
  <c r="E184"/>
  <c r="W193"/>
  <c r="Q193"/>
  <c r="T193"/>
  <c r="N193"/>
  <c r="E193"/>
  <c r="W202"/>
  <c r="Q202"/>
  <c r="T202"/>
  <c r="N202"/>
  <c r="E202"/>
  <c r="W210"/>
  <c r="Q210"/>
  <c r="T210"/>
  <c r="N210"/>
  <c r="E210"/>
  <c r="W219"/>
  <c r="Q219"/>
  <c r="T219"/>
  <c r="N219"/>
  <c r="E219"/>
  <c r="W228"/>
  <c r="Q228"/>
  <c r="T228"/>
  <c r="N228"/>
  <c r="E228"/>
  <c r="W237"/>
  <c r="Q237"/>
  <c r="T237"/>
  <c r="N237"/>
  <c r="E237"/>
  <c r="W246"/>
  <c r="Q246"/>
  <c r="T246"/>
  <c r="N246"/>
  <c r="E246"/>
  <c r="W254"/>
  <c r="Q254"/>
  <c r="T254"/>
  <c r="N254"/>
  <c r="E254"/>
  <c r="W263"/>
  <c r="Q263"/>
  <c r="T263"/>
  <c r="N263"/>
  <c r="E263"/>
  <c r="W272"/>
  <c r="Q272"/>
  <c r="T272"/>
  <c r="N272"/>
  <c r="E272"/>
  <c r="W280"/>
  <c r="Q280"/>
  <c r="T280"/>
  <c r="N280"/>
  <c r="E280"/>
  <c r="W289"/>
  <c r="Q289"/>
  <c r="T289"/>
  <c r="N289"/>
  <c r="E289"/>
  <c r="W297"/>
  <c r="Q297"/>
  <c r="T297"/>
  <c r="N297"/>
  <c r="E297"/>
  <c r="W305"/>
  <c r="Q305"/>
  <c r="T305"/>
  <c r="N305"/>
  <c r="E305"/>
  <c r="W314"/>
  <c r="Q314"/>
  <c r="T314"/>
  <c r="N314"/>
  <c r="E314"/>
  <c r="W322"/>
  <c r="Q322"/>
  <c r="T322"/>
  <c r="N322"/>
  <c r="E322"/>
  <c r="W331"/>
  <c r="Q331"/>
  <c r="T331"/>
  <c r="N331"/>
  <c r="E331"/>
  <c r="W339"/>
  <c r="Q339"/>
  <c r="T339"/>
  <c r="N339"/>
  <c r="E339"/>
  <c r="W348"/>
  <c r="Q348"/>
  <c r="T348"/>
  <c r="N348"/>
  <c r="E348"/>
  <c r="W357"/>
  <c r="Q357"/>
  <c r="T357"/>
  <c r="N357"/>
  <c r="E357"/>
  <c r="W366"/>
  <c r="Q366"/>
  <c r="T366"/>
  <c r="N366"/>
  <c r="E366"/>
  <c r="W374"/>
  <c r="Q374"/>
  <c r="T374"/>
  <c r="N374"/>
  <c r="E374"/>
  <c r="W38"/>
  <c r="Q38"/>
  <c r="T38"/>
  <c r="N38"/>
  <c r="K38"/>
  <c r="E38"/>
  <c r="W57"/>
  <c r="Q57"/>
  <c r="T57"/>
  <c r="N57"/>
  <c r="E57"/>
  <c r="W70"/>
  <c r="Q70"/>
  <c r="T70"/>
  <c r="N70"/>
  <c r="E70"/>
  <c r="W88"/>
  <c r="Q88"/>
  <c r="T88"/>
  <c r="N88"/>
  <c r="E88"/>
  <c r="W106"/>
  <c r="Q106"/>
  <c r="T106"/>
  <c r="N106"/>
  <c r="E106"/>
  <c r="W118"/>
  <c r="Q118"/>
  <c r="T118"/>
  <c r="N118"/>
  <c r="E118"/>
  <c r="Q10"/>
  <c r="K10"/>
  <c r="E10"/>
  <c r="N10"/>
  <c r="T19"/>
  <c r="W19"/>
  <c r="Q19"/>
  <c r="K19"/>
  <c r="E19"/>
  <c r="N19"/>
  <c r="T27"/>
  <c r="W27"/>
  <c r="Q27"/>
  <c r="K27"/>
  <c r="E27"/>
  <c r="N27"/>
  <c r="W35"/>
  <c r="T35"/>
  <c r="Q35"/>
  <c r="N35"/>
  <c r="K35"/>
  <c r="E35"/>
  <c r="W43"/>
  <c r="T43"/>
  <c r="Q43"/>
  <c r="N43"/>
  <c r="K43"/>
  <c r="E43"/>
  <c r="W54"/>
  <c r="T54"/>
  <c r="Q54"/>
  <c r="N54"/>
  <c r="E54"/>
  <c r="W71"/>
  <c r="T71"/>
  <c r="Q71"/>
  <c r="N71"/>
  <c r="E71"/>
  <c r="W80"/>
  <c r="T80"/>
  <c r="Q80"/>
  <c r="N80"/>
  <c r="E80"/>
  <c r="W98"/>
  <c r="T98"/>
  <c r="Q98"/>
  <c r="N98"/>
  <c r="E98"/>
  <c r="W115"/>
  <c r="T115"/>
  <c r="Q115"/>
  <c r="N115"/>
  <c r="E115"/>
  <c r="W133"/>
  <c r="T133"/>
  <c r="Q133"/>
  <c r="N133"/>
  <c r="E133"/>
  <c r="W151"/>
  <c r="T151"/>
  <c r="N151"/>
  <c r="Q151"/>
  <c r="E151"/>
  <c r="W168"/>
  <c r="T168"/>
  <c r="N168"/>
  <c r="Q168"/>
  <c r="E168"/>
  <c r="W186"/>
  <c r="T186"/>
  <c r="N186"/>
  <c r="Q186"/>
  <c r="E186"/>
  <c r="W211"/>
  <c r="T211"/>
  <c r="N211"/>
  <c r="Q211"/>
  <c r="E211"/>
  <c r="W229"/>
  <c r="T229"/>
  <c r="N229"/>
  <c r="Q229"/>
  <c r="E229"/>
  <c r="W247"/>
  <c r="T247"/>
  <c r="N247"/>
  <c r="Q247"/>
  <c r="E247"/>
  <c r="W264"/>
  <c r="T264"/>
  <c r="N264"/>
  <c r="Q264"/>
  <c r="E264"/>
  <c r="W281"/>
  <c r="T281"/>
  <c r="N281"/>
  <c r="Q281"/>
  <c r="E281"/>
  <c r="W298"/>
  <c r="T298"/>
  <c r="N298"/>
  <c r="Q298"/>
  <c r="E298"/>
  <c r="W315"/>
  <c r="T315"/>
  <c r="N315"/>
  <c r="Q315"/>
  <c r="E315"/>
  <c r="W332"/>
  <c r="T332"/>
  <c r="N332"/>
  <c r="Q332"/>
  <c r="E332"/>
  <c r="W349"/>
  <c r="T349"/>
  <c r="N349"/>
  <c r="Q349"/>
  <c r="E349"/>
  <c r="W367"/>
  <c r="T367"/>
  <c r="N367"/>
  <c r="Q367"/>
  <c r="E367"/>
  <c r="Q11"/>
  <c r="N11"/>
  <c r="K11"/>
  <c r="E11"/>
  <c r="W28"/>
  <c r="Q28"/>
  <c r="T28"/>
  <c r="N28"/>
  <c r="K28"/>
  <c r="E28"/>
  <c r="W44"/>
  <c r="Q44"/>
  <c r="T44"/>
  <c r="N44"/>
  <c r="K44"/>
  <c r="E44"/>
  <c r="W59"/>
  <c r="Q59"/>
  <c r="T59"/>
  <c r="N59"/>
  <c r="E59"/>
  <c r="W73"/>
  <c r="Q73"/>
  <c r="T73"/>
  <c r="N73"/>
  <c r="E73"/>
  <c r="W90"/>
  <c r="Q90"/>
  <c r="T90"/>
  <c r="N90"/>
  <c r="E90"/>
  <c r="W108"/>
  <c r="Q108"/>
  <c r="T108"/>
  <c r="N108"/>
  <c r="E108"/>
  <c r="W120"/>
  <c r="Q120"/>
  <c r="T120"/>
  <c r="N120"/>
  <c r="E120"/>
  <c r="W138"/>
  <c r="Q138"/>
  <c r="T138"/>
  <c r="N138"/>
  <c r="E138"/>
  <c r="W156"/>
  <c r="Q156"/>
  <c r="T156"/>
  <c r="N156"/>
  <c r="E156"/>
  <c r="W191"/>
  <c r="Q191"/>
  <c r="T191"/>
  <c r="N191"/>
  <c r="E191"/>
  <c r="W30"/>
  <c r="Q30"/>
  <c r="T30"/>
  <c r="N30"/>
  <c r="K30"/>
  <c r="E30"/>
  <c r="Q15"/>
  <c r="N15"/>
  <c r="K15"/>
  <c r="E15"/>
  <c r="W32"/>
  <c r="Q32"/>
  <c r="T32"/>
  <c r="N32"/>
  <c r="K32"/>
  <c r="E32"/>
  <c r="W55"/>
  <c r="Q55"/>
  <c r="T55"/>
  <c r="N55"/>
  <c r="E55"/>
  <c r="W77"/>
  <c r="Q77"/>
  <c r="T77"/>
  <c r="N77"/>
  <c r="E77"/>
  <c r="W95"/>
  <c r="Q95"/>
  <c r="T95"/>
  <c r="N95"/>
  <c r="E95"/>
  <c r="W112"/>
  <c r="Q112"/>
  <c r="T112"/>
  <c r="N112"/>
  <c r="E112"/>
  <c r="W134"/>
  <c r="Q134"/>
  <c r="T134"/>
  <c r="N134"/>
  <c r="E134"/>
  <c r="W152"/>
  <c r="Q152"/>
  <c r="T152"/>
  <c r="N152"/>
  <c r="E152"/>
  <c r="W165"/>
  <c r="Q165"/>
  <c r="T165"/>
  <c r="N165"/>
  <c r="E165"/>
  <c r="W178"/>
  <c r="Q178"/>
  <c r="T178"/>
  <c r="N178"/>
  <c r="E178"/>
  <c r="W187"/>
  <c r="Q187"/>
  <c r="T187"/>
  <c r="N187"/>
  <c r="E187"/>
  <c r="W200"/>
  <c r="Q200"/>
  <c r="T200"/>
  <c r="N200"/>
  <c r="E200"/>
  <c r="W208"/>
  <c r="Q208"/>
  <c r="T208"/>
  <c r="N208"/>
  <c r="E208"/>
  <c r="W217"/>
  <c r="Q217"/>
  <c r="T217"/>
  <c r="N217"/>
  <c r="E217"/>
  <c r="W225"/>
  <c r="Q225"/>
  <c r="T225"/>
  <c r="N225"/>
  <c r="E225"/>
  <c r="W234"/>
  <c r="Q234"/>
  <c r="T234"/>
  <c r="N234"/>
  <c r="E234"/>
  <c r="W243"/>
  <c r="Q243"/>
  <c r="T243"/>
  <c r="N243"/>
  <c r="E243"/>
  <c r="W252"/>
  <c r="Q252"/>
  <c r="T252"/>
  <c r="N252"/>
  <c r="E252"/>
  <c r="W260"/>
  <c r="Q260"/>
  <c r="T260"/>
  <c r="N260"/>
  <c r="E260"/>
  <c r="W270"/>
  <c r="Q270"/>
  <c r="T270"/>
  <c r="N270"/>
  <c r="E270"/>
  <c r="W278"/>
  <c r="Q278"/>
  <c r="T278"/>
  <c r="N278"/>
  <c r="E278"/>
  <c r="W286"/>
  <c r="Q286"/>
  <c r="T286"/>
  <c r="N286"/>
  <c r="E286"/>
  <c r="W295"/>
  <c r="Q295"/>
  <c r="T295"/>
  <c r="N295"/>
  <c r="E295"/>
  <c r="W303"/>
  <c r="Q303"/>
  <c r="T303"/>
  <c r="N303"/>
  <c r="E303"/>
  <c r="W311"/>
  <c r="Q311"/>
  <c r="T311"/>
  <c r="N311"/>
  <c r="E311"/>
  <c r="W320"/>
  <c r="Q320"/>
  <c r="T320"/>
  <c r="N320"/>
  <c r="E320"/>
  <c r="W329"/>
  <c r="Q329"/>
  <c r="T329"/>
  <c r="N329"/>
  <c r="E329"/>
  <c r="W337"/>
  <c r="Q337"/>
  <c r="T337"/>
  <c r="N337"/>
  <c r="E337"/>
  <c r="W346"/>
  <c r="Q346"/>
  <c r="T346"/>
  <c r="N346"/>
  <c r="E346"/>
  <c r="W355"/>
  <c r="Q355"/>
  <c r="T355"/>
  <c r="N355"/>
  <c r="E355"/>
  <c r="W363"/>
  <c r="Q363"/>
  <c r="T363"/>
  <c r="N363"/>
  <c r="E363"/>
  <c r="W372"/>
  <c r="Q372"/>
  <c r="T372"/>
  <c r="N372"/>
  <c r="E372"/>
  <c r="W85"/>
  <c r="T85"/>
  <c r="Q85"/>
  <c r="N85"/>
  <c r="E85"/>
  <c r="W102"/>
  <c r="T102"/>
  <c r="Q102"/>
  <c r="N102"/>
  <c r="E102"/>
  <c r="W119"/>
  <c r="T119"/>
  <c r="Q119"/>
  <c r="N119"/>
  <c r="E119"/>
  <c r="W137"/>
  <c r="T137"/>
  <c r="Q137"/>
  <c r="N137"/>
  <c r="E137"/>
  <c r="W155"/>
  <c r="T155"/>
  <c r="N155"/>
  <c r="Q155"/>
  <c r="E155"/>
  <c r="W172"/>
  <c r="T172"/>
  <c r="N172"/>
  <c r="Q172"/>
  <c r="E172"/>
  <c r="W190"/>
  <c r="T190"/>
  <c r="N190"/>
  <c r="Q190"/>
  <c r="E190"/>
  <c r="W198"/>
  <c r="T198"/>
  <c r="N198"/>
  <c r="Q198"/>
  <c r="E198"/>
  <c r="W216"/>
  <c r="T216"/>
  <c r="N216"/>
  <c r="Q216"/>
  <c r="E216"/>
  <c r="W233"/>
  <c r="T233"/>
  <c r="N233"/>
  <c r="Q233"/>
  <c r="E233"/>
  <c r="W251"/>
  <c r="T251"/>
  <c r="N251"/>
  <c r="Q251"/>
  <c r="E251"/>
  <c r="W268"/>
  <c r="T268"/>
  <c r="N268"/>
  <c r="Q268"/>
  <c r="E268"/>
  <c r="W285"/>
  <c r="T285"/>
  <c r="N285"/>
  <c r="Q285"/>
  <c r="E285"/>
  <c r="W302"/>
  <c r="T302"/>
  <c r="N302"/>
  <c r="Q302"/>
  <c r="E302"/>
  <c r="W319"/>
  <c r="T319"/>
  <c r="N319"/>
  <c r="Q319"/>
  <c r="E319"/>
  <c r="W336"/>
  <c r="T336"/>
  <c r="N336"/>
  <c r="Q336"/>
  <c r="E336"/>
  <c r="W354"/>
  <c r="T354"/>
  <c r="N354"/>
  <c r="Q354"/>
  <c r="E354"/>
  <c r="W371"/>
  <c r="T371"/>
  <c r="N371"/>
  <c r="Q371"/>
  <c r="E371"/>
  <c r="Q12"/>
  <c r="K12"/>
  <c r="E12"/>
  <c r="N12"/>
  <c r="T21"/>
  <c r="W21"/>
  <c r="Q21"/>
  <c r="K21"/>
  <c r="E21"/>
  <c r="N21"/>
  <c r="T29"/>
  <c r="W29"/>
  <c r="Q29"/>
  <c r="K29"/>
  <c r="E29"/>
  <c r="N29"/>
  <c r="T37"/>
  <c r="W37"/>
  <c r="Q37"/>
  <c r="K37"/>
  <c r="E37"/>
  <c r="N37"/>
  <c r="T56"/>
  <c r="W56"/>
  <c r="Q56"/>
  <c r="E56"/>
  <c r="N56"/>
  <c r="T64"/>
  <c r="W64"/>
  <c r="Q64"/>
  <c r="E64"/>
  <c r="N64"/>
  <c r="T74"/>
  <c r="W74"/>
  <c r="Q74"/>
  <c r="E74"/>
  <c r="N74"/>
  <c r="W83"/>
  <c r="T83"/>
  <c r="Q83"/>
  <c r="E83"/>
  <c r="N83"/>
  <c r="W92"/>
  <c r="T92"/>
  <c r="Q92"/>
  <c r="E92"/>
  <c r="N92"/>
  <c r="W100"/>
  <c r="T100"/>
  <c r="Q100"/>
  <c r="E100"/>
  <c r="N100"/>
  <c r="W109"/>
  <c r="T109"/>
  <c r="Q109"/>
  <c r="E109"/>
  <c r="N109"/>
  <c r="W117"/>
  <c r="T117"/>
  <c r="Q117"/>
  <c r="E117"/>
  <c r="N117"/>
  <c r="W126"/>
  <c r="T126"/>
  <c r="Q126"/>
  <c r="E126"/>
  <c r="N126"/>
  <c r="W135"/>
  <c r="T135"/>
  <c r="Q135"/>
  <c r="E135"/>
  <c r="N135"/>
  <c r="W144"/>
  <c r="T144"/>
  <c r="Q144"/>
  <c r="E144"/>
  <c r="N144"/>
  <c r="W153"/>
  <c r="T153"/>
  <c r="N153"/>
  <c r="Q153"/>
  <c r="E153"/>
  <c r="W162"/>
  <c r="T162"/>
  <c r="N162"/>
  <c r="Q162"/>
  <c r="E162"/>
  <c r="W170"/>
  <c r="T170"/>
  <c r="N170"/>
  <c r="Q170"/>
  <c r="E170"/>
  <c r="W179"/>
  <c r="T179"/>
  <c r="N179"/>
  <c r="Q179"/>
  <c r="E179"/>
  <c r="W188"/>
  <c r="T188"/>
  <c r="N188"/>
  <c r="Q188"/>
  <c r="E188"/>
  <c r="W196"/>
  <c r="T196"/>
  <c r="N196"/>
  <c r="Q196"/>
  <c r="E196"/>
  <c r="W205"/>
  <c r="T205"/>
  <c r="N205"/>
  <c r="Q205"/>
  <c r="E205"/>
  <c r="W214"/>
  <c r="T214"/>
  <c r="N214"/>
  <c r="Q214"/>
  <c r="E214"/>
  <c r="W222"/>
  <c r="T222"/>
  <c r="N222"/>
  <c r="Q222"/>
  <c r="E222"/>
  <c r="W231"/>
  <c r="T231"/>
  <c r="N231"/>
  <c r="Q231"/>
  <c r="E231"/>
  <c r="W240"/>
  <c r="T240"/>
  <c r="N240"/>
  <c r="Q240"/>
  <c r="E240"/>
  <c r="W249"/>
  <c r="T249"/>
  <c r="N249"/>
  <c r="Q249"/>
  <c r="E249"/>
  <c r="W257"/>
  <c r="T257"/>
  <c r="N257"/>
  <c r="Q257"/>
  <c r="E257"/>
  <c r="W266"/>
  <c r="T266"/>
  <c r="N266"/>
  <c r="Q266"/>
  <c r="E266"/>
  <c r="W275"/>
  <c r="T275"/>
  <c r="N275"/>
  <c r="Q275"/>
  <c r="E275"/>
  <c r="W283"/>
  <c r="T283"/>
  <c r="N283"/>
  <c r="Q283"/>
  <c r="E283"/>
  <c r="W292"/>
  <c r="T292"/>
  <c r="N292"/>
  <c r="Q292"/>
  <c r="E292"/>
  <c r="W300"/>
  <c r="T300"/>
  <c r="N300"/>
  <c r="Q300"/>
  <c r="E300"/>
  <c r="W308"/>
  <c r="T308"/>
  <c r="N308"/>
  <c r="Q308"/>
  <c r="E308"/>
  <c r="W317"/>
  <c r="T317"/>
  <c r="N317"/>
  <c r="Q317"/>
  <c r="E317"/>
  <c r="W325"/>
  <c r="T325"/>
  <c r="N325"/>
  <c r="Q325"/>
  <c r="E325"/>
  <c r="W334"/>
  <c r="T334"/>
  <c r="N334"/>
  <c r="Q334"/>
  <c r="E334"/>
  <c r="W343"/>
  <c r="T343"/>
  <c r="N343"/>
  <c r="Q343"/>
  <c r="E343"/>
  <c r="W351"/>
  <c r="T351"/>
  <c r="N351"/>
  <c r="Q351"/>
  <c r="E351"/>
  <c r="W360"/>
  <c r="T360"/>
  <c r="N360"/>
  <c r="Q360"/>
  <c r="E360"/>
  <c r="W369"/>
  <c r="T369"/>
  <c r="N369"/>
  <c r="Q369"/>
  <c r="E369"/>
  <c r="Q9"/>
  <c r="N9"/>
  <c r="K9"/>
  <c r="E9"/>
  <c r="W42"/>
  <c r="Q42"/>
  <c r="T42"/>
  <c r="N42"/>
  <c r="K42"/>
  <c r="E42"/>
  <c r="W61"/>
  <c r="Q61"/>
  <c r="T61"/>
  <c r="N61"/>
  <c r="E61"/>
  <c r="W84"/>
  <c r="Q84"/>
  <c r="T84"/>
  <c r="N84"/>
  <c r="E84"/>
  <c r="W101"/>
  <c r="Q101"/>
  <c r="T101"/>
  <c r="N101"/>
  <c r="E101"/>
  <c r="W123"/>
  <c r="Q123"/>
  <c r="T123"/>
  <c r="N123"/>
  <c r="E123"/>
  <c r="W136"/>
  <c r="Q136"/>
  <c r="T136"/>
  <c r="N136"/>
  <c r="E136"/>
  <c r="W145"/>
  <c r="Q145"/>
  <c r="T145"/>
  <c r="N145"/>
  <c r="E145"/>
  <c r="W154"/>
  <c r="Q154"/>
  <c r="T154"/>
  <c r="N154"/>
  <c r="E154"/>
  <c r="W163"/>
  <c r="Q163"/>
  <c r="T163"/>
  <c r="N163"/>
  <c r="E163"/>
  <c r="W171"/>
  <c r="Q171"/>
  <c r="T171"/>
  <c r="N171"/>
  <c r="E171"/>
  <c r="W180"/>
  <c r="Q180"/>
  <c r="T180"/>
  <c r="N180"/>
  <c r="E180"/>
  <c r="W189"/>
  <c r="Q189"/>
  <c r="T189"/>
  <c r="N189"/>
  <c r="E189"/>
  <c r="W197"/>
  <c r="Q197"/>
  <c r="T197"/>
  <c r="N197"/>
  <c r="E197"/>
  <c r="W206"/>
  <c r="Q206"/>
  <c r="T206"/>
  <c r="N206"/>
  <c r="E206"/>
  <c r="W215"/>
  <c r="Q215"/>
  <c r="T215"/>
  <c r="N215"/>
  <c r="E215"/>
  <c r="W223"/>
  <c r="Q223"/>
  <c r="T223"/>
  <c r="N223"/>
  <c r="E223"/>
  <c r="W232"/>
  <c r="Q232"/>
  <c r="T232"/>
  <c r="N232"/>
  <c r="E232"/>
  <c r="W241"/>
  <c r="Q241"/>
  <c r="T241"/>
  <c r="N241"/>
  <c r="E241"/>
  <c r="W250"/>
  <c r="Q250"/>
  <c r="T250"/>
  <c r="N250"/>
  <c r="E250"/>
  <c r="W258"/>
  <c r="Q258"/>
  <c r="T258"/>
  <c r="N258"/>
  <c r="E258"/>
  <c r="W267"/>
  <c r="Q267"/>
  <c r="T267"/>
  <c r="N267"/>
  <c r="E267"/>
  <c r="W276"/>
  <c r="Q276"/>
  <c r="T276"/>
  <c r="N276"/>
  <c r="E276"/>
  <c r="W284"/>
  <c r="Q284"/>
  <c r="T284"/>
  <c r="N284"/>
  <c r="E284"/>
  <c r="W293"/>
  <c r="Q293"/>
  <c r="T293"/>
  <c r="N293"/>
  <c r="E293"/>
  <c r="W301"/>
  <c r="Q301"/>
  <c r="T301"/>
  <c r="N301"/>
  <c r="E301"/>
  <c r="W309"/>
  <c r="Q309"/>
  <c r="T309"/>
  <c r="N309"/>
  <c r="E309"/>
  <c r="W318"/>
  <c r="Q318"/>
  <c r="T318"/>
  <c r="N318"/>
  <c r="E318"/>
  <c r="W326"/>
  <c r="Q326"/>
  <c r="T326"/>
  <c r="N326"/>
  <c r="E326"/>
  <c r="W335"/>
  <c r="Q335"/>
  <c r="T335"/>
  <c r="N335"/>
  <c r="E335"/>
  <c r="W344"/>
  <c r="Q344"/>
  <c r="T344"/>
  <c r="N344"/>
  <c r="E344"/>
  <c r="W353"/>
  <c r="Q353"/>
  <c r="T353"/>
  <c r="N353"/>
  <c r="E353"/>
  <c r="W361"/>
  <c r="Q361"/>
  <c r="T361"/>
  <c r="N361"/>
  <c r="E361"/>
  <c r="W370"/>
  <c r="Q370"/>
  <c r="T370"/>
  <c r="N370"/>
  <c r="E370"/>
  <c r="W22"/>
  <c r="Q22"/>
  <c r="T22"/>
  <c r="N22"/>
  <c r="K22"/>
  <c r="E22"/>
  <c r="W48"/>
  <c r="Q48"/>
  <c r="T48"/>
  <c r="N48"/>
  <c r="E48"/>
  <c r="W65"/>
  <c r="Q65"/>
  <c r="T65"/>
  <c r="N65"/>
  <c r="E65"/>
  <c r="W79"/>
  <c r="Q79"/>
  <c r="T79"/>
  <c r="N79"/>
  <c r="E79"/>
  <c r="W97"/>
  <c r="Q97"/>
  <c r="T97"/>
  <c r="N97"/>
  <c r="E97"/>
  <c r="W110"/>
  <c r="Q110"/>
  <c r="T110"/>
  <c r="N110"/>
  <c r="E110"/>
  <c r="W132"/>
  <c r="Q132"/>
  <c r="T132"/>
  <c r="N132"/>
  <c r="E132"/>
  <c r="Q14"/>
  <c r="K14"/>
  <c r="E14"/>
  <c r="N14"/>
  <c r="T23"/>
  <c r="W23"/>
  <c r="Q23"/>
  <c r="K23"/>
  <c r="E23"/>
  <c r="N23"/>
  <c r="T31"/>
  <c r="W31"/>
  <c r="Q31"/>
  <c r="K31"/>
  <c r="E31"/>
  <c r="N31"/>
  <c r="W39"/>
  <c r="T39"/>
  <c r="Q39"/>
  <c r="N39"/>
  <c r="K39"/>
  <c r="E39"/>
  <c r="W49"/>
  <c r="T49"/>
  <c r="Q49"/>
  <c r="N49"/>
  <c r="E49"/>
  <c r="W58"/>
  <c r="T58"/>
  <c r="Q58"/>
  <c r="N58"/>
  <c r="E58"/>
  <c r="W67"/>
  <c r="T67"/>
  <c r="Q67"/>
  <c r="N67"/>
  <c r="E67"/>
  <c r="W76"/>
  <c r="T76"/>
  <c r="Q76"/>
  <c r="N76"/>
  <c r="E76"/>
  <c r="W94"/>
  <c r="T94"/>
  <c r="Q94"/>
  <c r="N94"/>
  <c r="E94"/>
  <c r="W111"/>
  <c r="T111"/>
  <c r="Q111"/>
  <c r="N111"/>
  <c r="E111"/>
  <c r="W128"/>
  <c r="T128"/>
  <c r="Q128"/>
  <c r="N128"/>
  <c r="E128"/>
  <c r="W147"/>
  <c r="T147"/>
  <c r="Q147"/>
  <c r="N147"/>
  <c r="E147"/>
  <c r="W164"/>
  <c r="T164"/>
  <c r="N164"/>
  <c r="Q164"/>
  <c r="E164"/>
  <c r="W181"/>
  <c r="T181"/>
  <c r="N181"/>
  <c r="Q181"/>
  <c r="E181"/>
  <c r="W207"/>
  <c r="T207"/>
  <c r="N207"/>
  <c r="Q207"/>
  <c r="E207"/>
  <c r="W224"/>
  <c r="T224"/>
  <c r="N224"/>
  <c r="Q224"/>
  <c r="E224"/>
  <c r="W242"/>
  <c r="T242"/>
  <c r="N242"/>
  <c r="Q242"/>
  <c r="E242"/>
  <c r="W259"/>
  <c r="T259"/>
  <c r="N259"/>
  <c r="Q259"/>
  <c r="E259"/>
  <c r="W277"/>
  <c r="T277"/>
  <c r="N277"/>
  <c r="Q277"/>
  <c r="E277"/>
  <c r="W294"/>
  <c r="T294"/>
  <c r="N294"/>
  <c r="Q294"/>
  <c r="E294"/>
  <c r="W310"/>
  <c r="T310"/>
  <c r="N310"/>
  <c r="Q310"/>
  <c r="E310"/>
  <c r="W327"/>
  <c r="T327"/>
  <c r="N327"/>
  <c r="Q327"/>
  <c r="E327"/>
  <c r="W345"/>
  <c r="T345"/>
  <c r="N345"/>
  <c r="Q345"/>
  <c r="E345"/>
  <c r="W362"/>
  <c r="T362"/>
  <c r="N362"/>
  <c r="Q362"/>
  <c r="E362"/>
  <c r="W34"/>
  <c r="Q34"/>
  <c r="T34"/>
  <c r="N34"/>
  <c r="K34"/>
  <c r="E34"/>
  <c r="W20"/>
  <c r="Q20"/>
  <c r="T20"/>
  <c r="N20"/>
  <c r="K20"/>
  <c r="E20"/>
  <c r="W36"/>
  <c r="Q36"/>
  <c r="T36"/>
  <c r="N36"/>
  <c r="K36"/>
  <c r="E36"/>
  <c r="W50"/>
  <c r="Q50"/>
  <c r="T50"/>
  <c r="N50"/>
  <c r="E50"/>
  <c r="W63"/>
  <c r="Q63"/>
  <c r="T63"/>
  <c r="N63"/>
  <c r="E63"/>
  <c r="W82"/>
  <c r="Q82"/>
  <c r="T82"/>
  <c r="N82"/>
  <c r="E82"/>
  <c r="W99"/>
  <c r="Q99"/>
  <c r="T99"/>
  <c r="N99"/>
  <c r="E99"/>
  <c r="W116"/>
  <c r="Q116"/>
  <c r="T116"/>
  <c r="N116"/>
  <c r="E116"/>
  <c r="W130"/>
  <c r="Q130"/>
  <c r="T130"/>
  <c r="N130"/>
  <c r="E130"/>
  <c r="W148"/>
  <c r="Q148"/>
  <c r="T148"/>
  <c r="N148"/>
  <c r="E148"/>
  <c r="W169"/>
  <c r="Q169"/>
  <c r="T169"/>
  <c r="N169"/>
  <c r="E169"/>
  <c r="Q13"/>
  <c r="N13"/>
  <c r="K13"/>
  <c r="E13"/>
  <c r="W24"/>
  <c r="Q24"/>
  <c r="T24"/>
  <c r="N24"/>
  <c r="K24"/>
  <c r="E24"/>
  <c r="W40"/>
  <c r="Q40"/>
  <c r="T40"/>
  <c r="N40"/>
  <c r="K40"/>
  <c r="E40"/>
  <c r="W68"/>
  <c r="Q68"/>
  <c r="T68"/>
  <c r="N68"/>
  <c r="E68"/>
  <c r="W86"/>
  <c r="Q86"/>
  <c r="T86"/>
  <c r="N86"/>
  <c r="E86"/>
  <c r="W103"/>
  <c r="Q103"/>
  <c r="T103"/>
  <c r="N103"/>
  <c r="E103"/>
  <c r="W125"/>
  <c r="Q125"/>
  <c r="T125"/>
  <c r="N125"/>
  <c r="E125"/>
  <c r="W143"/>
  <c r="Q143"/>
  <c r="T143"/>
  <c r="N143"/>
  <c r="E143"/>
  <c r="W161"/>
  <c r="Q161"/>
  <c r="T161"/>
  <c r="N161"/>
  <c r="E161"/>
  <c r="W174"/>
  <c r="Q174"/>
  <c r="T174"/>
  <c r="N174"/>
  <c r="E174"/>
  <c r="W182"/>
  <c r="Q182"/>
  <c r="T182"/>
  <c r="N182"/>
  <c r="E182"/>
  <c r="W195"/>
  <c r="Q195"/>
  <c r="T195"/>
  <c r="N195"/>
  <c r="E195"/>
  <c r="W204"/>
  <c r="Q204"/>
  <c r="T204"/>
  <c r="N204"/>
  <c r="E204"/>
  <c r="W213"/>
  <c r="Q213"/>
  <c r="T213"/>
  <c r="N213"/>
  <c r="E213"/>
  <c r="W221"/>
  <c r="Q221"/>
  <c r="T221"/>
  <c r="N221"/>
  <c r="E221"/>
  <c r="W230"/>
  <c r="Q230"/>
  <c r="T230"/>
  <c r="N230"/>
  <c r="E230"/>
  <c r="W239"/>
  <c r="Q239"/>
  <c r="T239"/>
  <c r="N239"/>
  <c r="E239"/>
  <c r="W248"/>
  <c r="Q248"/>
  <c r="T248"/>
  <c r="N248"/>
  <c r="E248"/>
  <c r="W256"/>
  <c r="Q256"/>
  <c r="T256"/>
  <c r="N256"/>
  <c r="E256"/>
  <c r="W265"/>
  <c r="Q265"/>
  <c r="T265"/>
  <c r="N265"/>
  <c r="E265"/>
  <c r="W274"/>
  <c r="Q274"/>
  <c r="T274"/>
  <c r="N274"/>
  <c r="E274"/>
  <c r="W282"/>
  <c r="Q282"/>
  <c r="T282"/>
  <c r="N282"/>
  <c r="E282"/>
  <c r="W291"/>
  <c r="Q291"/>
  <c r="T291"/>
  <c r="N291"/>
  <c r="E291"/>
  <c r="W299"/>
  <c r="Q299"/>
  <c r="T299"/>
  <c r="N299"/>
  <c r="E299"/>
  <c r="W307"/>
  <c r="Q307"/>
  <c r="T307"/>
  <c r="N307"/>
  <c r="E307"/>
  <c r="W316"/>
  <c r="Q316"/>
  <c r="T316"/>
  <c r="N316"/>
  <c r="E316"/>
  <c r="W324"/>
  <c r="Q324"/>
  <c r="T324"/>
  <c r="N324"/>
  <c r="E324"/>
  <c r="W333"/>
  <c r="Q333"/>
  <c r="T333"/>
  <c r="N333"/>
  <c r="E333"/>
  <c r="W342"/>
  <c r="Q342"/>
  <c r="T342"/>
  <c r="N342"/>
  <c r="E342"/>
  <c r="W350"/>
  <c r="Q350"/>
  <c r="T350"/>
  <c r="N350"/>
  <c r="E350"/>
  <c r="W359"/>
  <c r="Q359"/>
  <c r="T359"/>
  <c r="N359"/>
  <c r="E359"/>
  <c r="W368"/>
  <c r="Q368"/>
  <c r="T368"/>
  <c r="N368"/>
  <c r="E368"/>
  <c r="W376"/>
  <c r="Q376"/>
  <c r="T376"/>
  <c r="N376"/>
  <c r="E376"/>
  <c r="W62"/>
  <c r="T62"/>
  <c r="Q62"/>
  <c r="N62"/>
  <c r="E62"/>
  <c r="W89"/>
  <c r="T89"/>
  <c r="Q89"/>
  <c r="N89"/>
  <c r="E89"/>
  <c r="W107"/>
  <c r="T107"/>
  <c r="Q107"/>
  <c r="N107"/>
  <c r="E107"/>
  <c r="W124"/>
  <c r="T124"/>
  <c r="Q124"/>
  <c r="N124"/>
  <c r="E124"/>
  <c r="W142"/>
  <c r="T142"/>
  <c r="Q142"/>
  <c r="N142"/>
  <c r="E142"/>
  <c r="W160"/>
  <c r="T160"/>
  <c r="N160"/>
  <c r="Q160"/>
  <c r="E160"/>
  <c r="W177"/>
  <c r="T177"/>
  <c r="N177"/>
  <c r="Q177"/>
  <c r="E177"/>
  <c r="W194"/>
  <c r="T194"/>
  <c r="N194"/>
  <c r="Q194"/>
  <c r="E194"/>
  <c r="W203"/>
  <c r="T203"/>
  <c r="N203"/>
  <c r="Q203"/>
  <c r="E203"/>
  <c r="W220"/>
  <c r="T220"/>
  <c r="N220"/>
  <c r="Q220"/>
  <c r="E220"/>
  <c r="W238"/>
  <c r="T238"/>
  <c r="N238"/>
  <c r="Q238"/>
  <c r="E238"/>
  <c r="W255"/>
  <c r="T255"/>
  <c r="N255"/>
  <c r="Q255"/>
  <c r="E255"/>
  <c r="W273"/>
  <c r="T273"/>
  <c r="N273"/>
  <c r="Q273"/>
  <c r="E273"/>
  <c r="W290"/>
  <c r="T290"/>
  <c r="N290"/>
  <c r="Q290"/>
  <c r="E290"/>
  <c r="W306"/>
  <c r="T306"/>
  <c r="N306"/>
  <c r="Q306"/>
  <c r="E306"/>
  <c r="W323"/>
  <c r="T323"/>
  <c r="N323"/>
  <c r="Q323"/>
  <c r="E323"/>
  <c r="W341"/>
  <c r="T341"/>
  <c r="N341"/>
  <c r="Q341"/>
  <c r="E341"/>
  <c r="W358"/>
  <c r="T358"/>
  <c r="N358"/>
  <c r="Q358"/>
  <c r="E358"/>
  <c r="W375"/>
  <c r="T375"/>
  <c r="N375"/>
  <c r="Q375"/>
  <c r="E375"/>
  <c r="AF377" i="7"/>
  <c r="AC377" s="1"/>
  <c r="B47" i="8"/>
  <c r="AG45" i="7"/>
  <c r="B45" i="8" s="1"/>
  <c r="B18"/>
  <c r="AG17" i="7"/>
  <c r="B7" i="8"/>
  <c r="N7" s="1"/>
  <c r="AG6" i="7"/>
  <c r="B6" i="8" s="1"/>
  <c r="Q7" l="1"/>
  <c r="Q6" s="1"/>
  <c r="H6"/>
  <c r="K7"/>
  <c r="K6" s="1"/>
  <c r="E7"/>
  <c r="E6" s="1"/>
  <c r="W18"/>
  <c r="W17" s="1"/>
  <c r="Q18"/>
  <c r="T18"/>
  <c r="T17" s="1"/>
  <c r="N18"/>
  <c r="K18"/>
  <c r="E18"/>
  <c r="T47"/>
  <c r="W47"/>
  <c r="Q47"/>
  <c r="E47"/>
  <c r="N47"/>
  <c r="H17"/>
  <c r="AJ45" i="7"/>
  <c r="AJ377" s="1"/>
  <c r="N6" i="8"/>
  <c r="Q17"/>
  <c r="N17"/>
  <c r="K17"/>
  <c r="E17"/>
  <c r="B17"/>
  <c r="AG377" i="7"/>
  <c r="B377" i="8" s="1"/>
  <c r="W45"/>
  <c r="Q45"/>
  <c r="T45"/>
  <c r="N45"/>
  <c r="E45"/>
  <c r="H377" l="1"/>
  <c r="W377"/>
  <c r="T377"/>
  <c r="E377"/>
  <c r="K377"/>
  <c r="N377"/>
  <c r="Q377"/>
  <c r="AI45" i="7"/>
  <c r="AI17"/>
  <c r="AK6"/>
  <c r="AI6"/>
  <c r="AK17" l="1"/>
  <c r="AK45"/>
  <c r="AI377"/>
  <c r="AK377" l="1"/>
</calcChain>
</file>

<file path=xl/sharedStrings.xml><?xml version="1.0" encoding="utf-8"?>
<sst xmlns="http://schemas.openxmlformats.org/spreadsheetml/2006/main" count="5490" uniqueCount="422">
  <si>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</si>
  <si>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</si>
  <si>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</si>
  <si>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</si>
  <si>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</si>
  <si>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</si>
  <si>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</si>
  <si>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</si>
  <si>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</si>
  <si>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</si>
  <si>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</si>
  <si>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</si>
  <si>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</si>
  <si>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</si>
  <si>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</si>
  <si>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</si>
  <si>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</si>
  <si>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</si>
  <si>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</si>
  <si>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</si>
  <si>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</si>
  <si>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</si>
  <si>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</si>
  <si>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</si>
  <si>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</si>
  <si>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</si>
  <si>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</si>
  <si>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</si>
  <si>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</si>
  <si>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</si>
  <si>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</si>
  <si>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</si>
  <si>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</si>
  <si>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</si>
  <si>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</si>
  <si>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</si>
  <si>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</si>
  <si>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</si>
  <si>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</si>
  <si>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</si>
  <si>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</si>
  <si>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</si>
  <si>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</si>
  <si>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</si>
  <si>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</si>
  <si>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</si>
  <si>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</si>
  <si>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</si>
  <si>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</si>
  <si>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</si>
  <si>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</si>
  <si>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</si>
  <si>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</si>
  <si>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</si>
  <si>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</si>
  <si>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</si>
  <si>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</si>
  <si>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</si>
  <si>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</si>
  <si>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</si>
  <si>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</si>
  <si>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</si>
  <si>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</si>
  <si>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</si>
  <si>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</si>
  <si>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</si>
  <si>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</si>
  <si>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</si>
  <si>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</si>
  <si>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</si>
  <si>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</si>
  <si>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</si>
  <si>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</si>
  <si>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</si>
  <si>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</si>
  <si>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</si>
  <si>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</si>
  <si>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</si>
  <si>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</si>
  <si>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</si>
  <si>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</si>
  <si>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</si>
  <si>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</si>
  <si>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</si>
  <si>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</si>
  <si>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</si>
  <si>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</si>
  <si>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</si>
  <si>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</si>
  <si>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</si>
  <si>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</si>
  <si>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</si>
  <si>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</si>
  <si>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</si>
  <si>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</si>
  <si>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</si>
  <si>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</si>
  <si>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</si>
  <si>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</si>
  <si>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</si>
  <si>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</si>
  <si>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</si>
  <si>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</si>
  <si>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</si>
  <si>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</si>
  <si>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</si>
  <si>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</si>
  <si>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</si>
  <si>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</si>
  <si>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</si>
  <si>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</si>
  <si>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</si>
  <si>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</si>
  <si>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</si>
  <si>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</si>
  <si>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</si>
  <si>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</si>
  <si>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</si>
  <si>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</si>
  <si>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</si>
  <si>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</si>
  <si>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</si>
  <si>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</si>
  <si>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</si>
  <si>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</si>
  <si>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</si>
  <si>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</si>
  <si>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</si>
  <si>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</si>
  <si>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</si>
  <si>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</si>
  <si>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</si>
  <si>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</si>
  <si>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</si>
  <si>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</si>
  <si>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</si>
  <si>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</si>
  <si>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</si>
  <si>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</si>
  <si>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</si>
  <si>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</si>
  <si>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</si>
  <si>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</si>
  <si>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</si>
  <si>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</si>
  <si>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</si>
  <si>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</si>
  <si>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</si>
  <si>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</si>
  <si>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</si>
  <si>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</si>
  <si>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</si>
  <si>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</si>
  <si>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</si>
  <si>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</si>
  <si>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</si>
  <si>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</si>
  <si>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</si>
  <si>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</si>
  <si>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</si>
  <si>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</si>
  <si>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</si>
  <si>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</si>
  <si>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</si>
  <si>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</si>
  <si>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</si>
  <si>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</si>
  <si>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</si>
  <si>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</si>
  <si>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</si>
  <si>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</si>
  <si>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</si>
  <si>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</si>
  <si>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</si>
  <si>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</si>
  <si>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</si>
  <si>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</si>
  <si>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</si>
  <si>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</si>
  <si>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</si>
  <si>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</si>
  <si>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</si>
  <si>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</si>
  <si>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</si>
  <si>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</si>
  <si>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</si>
  <si>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</si>
  <si>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</si>
  <si>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</si>
  <si>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</si>
  <si>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</si>
  <si>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</si>
  <si>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</si>
  <si>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</si>
  <si>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</si>
  <si>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</si>
  <si>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</si>
  <si>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</si>
  <si>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</si>
  <si>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</si>
  <si>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</si>
  <si>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</si>
  <si>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</si>
  <si>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</si>
  <si>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</si>
  <si>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</si>
  <si>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</si>
  <si>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</si>
  <si>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</si>
  <si>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</si>
  <si>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</si>
  <si>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</si>
  <si>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</si>
  <si>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</si>
  <si>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</si>
  <si>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</si>
  <si>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</si>
  <si>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</si>
  <si>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</si>
  <si>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</si>
  <si>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</si>
  <si>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</si>
  <si>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</si>
  <si>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</si>
  <si>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</si>
  <si>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</si>
  <si>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</si>
  <si>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</si>
  <si>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</si>
  <si>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</si>
  <si>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</si>
  <si>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</si>
  <si>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</si>
  <si>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</si>
  <si>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</si>
  <si>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</si>
  <si>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</si>
  <si>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</si>
  <si>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</si>
  <si>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</si>
  <si>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</si>
  <si>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</si>
  <si>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</si>
  <si>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</si>
  <si>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</si>
  <si>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</si>
  <si>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</si>
  <si>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</si>
  <si>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</si>
  <si>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</si>
  <si>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</si>
  <si>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</si>
  <si>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</si>
  <si>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</si>
  <si>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</si>
  <si>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</si>
  <si>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</si>
  <si>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</si>
  <si>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</si>
  <si>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</si>
  <si>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</si>
  <si>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</si>
  <si>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</si>
  <si>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</si>
  <si>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</si>
  <si>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</si>
  <si>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</si>
  <si>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</si>
  <si>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</si>
  <si>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</si>
  <si>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</si>
  <si>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</si>
  <si>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</si>
  <si>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</si>
  <si>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</si>
  <si>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</si>
  <si>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</si>
  <si>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</si>
  <si>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</si>
  <si>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</si>
  <si>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</si>
  <si>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</si>
  <si>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</si>
  <si>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</si>
  <si>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</si>
  <si>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</si>
  <si>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</si>
  <si>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</si>
  <si>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</si>
  <si>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</si>
  <si>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</si>
  <si>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</si>
  <si>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</si>
  <si>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</si>
  <si>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</si>
  <si>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</si>
  <si>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</si>
  <si>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</si>
  <si>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</si>
  <si>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</si>
  <si>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</si>
  <si>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</si>
  <si>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</si>
  <si>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</si>
  <si>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</si>
  <si>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</si>
  <si>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</si>
  <si>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</si>
  <si>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</si>
  <si>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</si>
  <si>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</si>
  <si>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</si>
  <si>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</si>
  <si>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</si>
  <si>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</si>
  <si>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</si>
  <si>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</si>
  <si>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</si>
  <si>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</si>
  <si>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</si>
  <si>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</si>
  <si>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</si>
  <si>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</si>
  <si>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</si>
  <si>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</si>
  <si>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</si>
  <si>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</si>
  <si>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</si>
  <si>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</si>
  <si>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</si>
  <si>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</si>
  <si>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</si>
  <si>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</si>
  <si>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</si>
  <si>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</si>
  <si>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</si>
  <si>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</si>
  <si>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</si>
  <si>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</si>
  <si>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</si>
  <si>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</si>
  <si>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</si>
  <si>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</si>
  <si>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</si>
  <si>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</si>
  <si>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</si>
  <si>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</si>
  <si>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</si>
  <si>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</si>
  <si>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</si>
  <si>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</si>
  <si>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</si>
  <si>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</si>
  <si>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</si>
  <si>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</si>
  <si>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</si>
  <si>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</si>
  <si>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</si>
  <si>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</si>
  <si>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</si>
  <si>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</si>
  <si>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</si>
  <si>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</si>
  <si>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</si>
  <si>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</si>
  <si>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</si>
  <si>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</si>
  <si>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</si>
  <si>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</si>
  <si>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</si>
  <si>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</si>
  <si>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</si>
  <si>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</si>
  <si>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</si>
  <si>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</si>
  <si>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</si>
  <si>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</si>
  <si>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</si>
  <si>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</si>
  <si>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</si>
  <si>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</si>
  <si>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</si>
  <si>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</si>
  <si>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</si>
  <si>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</si>
  <si>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</si>
  <si>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</si>
  <si>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</si>
  <si>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</si>
  <si>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</si>
  <si>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</si>
  <si>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План распределения за период</t>
  </si>
  <si>
    <t>Распределение за отчетный период</t>
  </si>
  <si>
    <t>Размер ежемесячного удержания субсидий в связи с исполнением показателей за 2013 год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</si>
  <si>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</si>
  <si>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</si>
  <si>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</si>
  <si>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</si>
  <si>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</si>
  <si>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22=21/20</t>
  </si>
  <si>
    <t>26=25/24</t>
  </si>
  <si>
    <t>Распределение за отчётный период с учетом корректировок</t>
  </si>
  <si>
    <t>Распределение за отчётный период с учетом корректировки и удержания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</si>
  <si>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</si>
  <si>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</si>
  <si>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За июль 2014 года</t>
  </si>
  <si>
    <t>Корректировка распределения с учетом использования показателей 
"темп роста среднемесячной номинальной заработной платы", "объем внебюджетных инвестиций в основной капитал", "оборот розничной торговли", "отношение количества земельных участков, учтенных в базе данных налоговых органов, к количеству земельных участков, состоящих на кадастровом учёте" за I полугодие 2014 года</t>
  </si>
  <si>
    <t>31=30/11мес.</t>
  </si>
  <si>
    <t>32=29*31</t>
  </si>
  <si>
    <t>33=32-31</t>
  </si>
  <si>
    <t>35=32+34</t>
  </si>
  <si>
    <t>37=35-36</t>
  </si>
  <si>
    <t>н/д</t>
  </si>
  <si>
    <t>Факторный анализ влияния отдельных показателей на итоговое распределение за июль 2014 года</t>
  </si>
  <si>
    <t xml:space="preserve"> + / -
(5)=(2)*(4)/(24)</t>
  </si>
  <si>
    <t xml:space="preserve"> + / -
(8)=(2)*(7)/(24)</t>
  </si>
  <si>
    <t xml:space="preserve"> + / -
(11)=(2)*(10)/(24)</t>
  </si>
  <si>
    <t xml:space="preserve"> + / -
(14)=(2)*(13)/(24)</t>
  </si>
  <si>
    <t xml:space="preserve"> + / -
(17)=(2)*(16)/(24)</t>
  </si>
  <si>
    <t xml:space="preserve"> + / -
(20)=(2)*(19)/(24)</t>
  </si>
  <si>
    <t xml:space="preserve"> + / -
(23)=(2)*(22)/(24)</t>
  </si>
  <si>
    <t>Отсутствие просро-ченной кредиторской задолженности местного бюджета (консолидированного бюджета муниципального района)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</si>
</sst>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4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1" fontId="16" fillId="12" borderId="3" xfId="0" applyNumberFormat="1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top" wrapText="1"/>
    </xf>
    <xf numFmtId="165" fontId="16" fillId="1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10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2" fillId="11" borderId="3" xfId="0" applyFont="1" applyFill="1" applyBorder="1" applyAlignment="1">
      <alignment horizontal="center" vertical="center" wrapText="1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4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9" fontId="16" fillId="13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166" fontId="16" fillId="13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K377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8"/>
  <cols>
    <col min="1" max="1" width="44.6640625" style="1" customWidth="1"/>
    <col min="2" max="3" width="13.77734375" style="1" customWidth="1"/>
    <col min="4" max="4" width="8.6640625" style="1" customWidth="1"/>
    <col min="5" max="5" width="4.88671875" style="1" customWidth="1"/>
    <col min="6" max="6" width="8.44140625" style="1" customWidth="1"/>
    <col min="7" max="7" width="9.6640625" style="1" customWidth="1"/>
    <col min="8" max="8" width="9" style="1" customWidth="1"/>
    <col min="9" max="9" width="5.109375" style="1" customWidth="1"/>
    <col min="10" max="10" width="8.6640625" style="1" customWidth="1"/>
    <col min="11" max="11" width="9.88671875" style="1" customWidth="1"/>
    <col min="12" max="12" width="9" style="1" customWidth="1"/>
    <col min="13" max="13" width="5.21875" style="1" customWidth="1"/>
    <col min="14" max="14" width="13.109375" style="1" customWidth="1"/>
    <col min="15" max="15" width="12.88671875" style="1" customWidth="1"/>
    <col min="16" max="16" width="8.6640625" style="1" customWidth="1"/>
    <col min="17" max="17" width="5.109375" style="1" customWidth="1"/>
    <col min="18" max="18" width="9.6640625" style="1" customWidth="1"/>
    <col min="19" max="19" width="5.21875" style="1" customWidth="1"/>
    <col min="20" max="21" width="9.77734375" style="1" customWidth="1"/>
    <col min="22" max="22" width="8.6640625" style="1" customWidth="1"/>
    <col min="23" max="23" width="4.88671875" style="1" customWidth="1"/>
    <col min="24" max="24" width="9" style="1" customWidth="1"/>
    <col min="25" max="25" width="9.6640625" style="1" customWidth="1"/>
    <col min="26" max="26" width="8.77734375" style="1" customWidth="1"/>
    <col min="27" max="27" width="4.6640625" style="1" customWidth="1"/>
    <col min="28" max="28" width="12" style="1" customWidth="1"/>
    <col min="29" max="29" width="11.88671875" style="1" customWidth="1"/>
    <col min="30" max="30" width="11.33203125" style="1" customWidth="1"/>
    <col min="31" max="31" width="11.109375" style="1" customWidth="1"/>
    <col min="32" max="32" width="11.44140625" style="1" customWidth="1"/>
    <col min="33" max="33" width="11.21875" style="1" customWidth="1"/>
    <col min="34" max="34" width="27.109375" style="1" customWidth="1"/>
    <col min="35" max="35" width="11.5546875" style="1" customWidth="1"/>
    <col min="36" max="36" width="10.6640625" style="1" customWidth="1"/>
    <col min="37" max="37" width="11.6640625" style="1" customWidth="1"/>
    <col min="38" max="16384" width="9.109375" style="1"/>
  </cols>
  <sheetData>
    <row r="1" spans="1:37" ht="21.75" customHeight="1">
      <c r="A1" s="74" t="s">
        <v>384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15.6">
      <c r="A2" s="67" t="s">
        <v>405</v>
      </c>
      <c r="AK2" s="56" t="s">
        <v>403</v>
      </c>
    </row>
    <row r="3" spans="1:37" ht="134.4" customHeight="1">
      <c r="A3" s="75" t="s">
        <v>15</v>
      </c>
      <c r="B3" s="78" t="s">
        <v>390</v>
      </c>
      <c r="C3" s="78"/>
      <c r="D3" s="78"/>
      <c r="E3" s="78"/>
      <c r="F3" s="78" t="s">
        <v>389</v>
      </c>
      <c r="G3" s="78"/>
      <c r="H3" s="78"/>
      <c r="I3" s="78"/>
      <c r="J3" s="78" t="s">
        <v>388</v>
      </c>
      <c r="K3" s="78"/>
      <c r="L3" s="78"/>
      <c r="M3" s="78"/>
      <c r="N3" s="78" t="s">
        <v>394</v>
      </c>
      <c r="O3" s="78"/>
      <c r="P3" s="78"/>
      <c r="Q3" s="78"/>
      <c r="R3" s="78" t="s">
        <v>421</v>
      </c>
      <c r="S3" s="78"/>
      <c r="T3" s="78" t="s">
        <v>387</v>
      </c>
      <c r="U3" s="78"/>
      <c r="V3" s="78"/>
      <c r="W3" s="78"/>
      <c r="X3" s="78" t="s">
        <v>386</v>
      </c>
      <c r="Y3" s="78"/>
      <c r="Z3" s="78"/>
      <c r="AA3" s="78"/>
      <c r="AB3" s="77" t="s">
        <v>377</v>
      </c>
      <c r="AC3" s="77" t="s">
        <v>378</v>
      </c>
      <c r="AD3" s="76" t="s">
        <v>383</v>
      </c>
      <c r="AE3" s="75" t="s">
        <v>391</v>
      </c>
      <c r="AF3" s="75" t="s">
        <v>392</v>
      </c>
      <c r="AG3" s="75" t="s">
        <v>379</v>
      </c>
      <c r="AH3" s="75" t="s">
        <v>406</v>
      </c>
      <c r="AI3" s="75" t="s">
        <v>401</v>
      </c>
      <c r="AJ3" s="75" t="s">
        <v>393</v>
      </c>
      <c r="AK3" s="75" t="s">
        <v>402</v>
      </c>
    </row>
    <row r="4" spans="1:37" ht="42" customHeight="1">
      <c r="A4" s="75"/>
      <c r="B4" s="39" t="s">
        <v>369</v>
      </c>
      <c r="C4" s="39" t="s">
        <v>370</v>
      </c>
      <c r="D4" s="39" t="s">
        <v>385</v>
      </c>
      <c r="E4" s="39" t="s">
        <v>16</v>
      </c>
      <c r="F4" s="39" t="s">
        <v>369</v>
      </c>
      <c r="G4" s="39" t="s">
        <v>370</v>
      </c>
      <c r="H4" s="39" t="s">
        <v>385</v>
      </c>
      <c r="I4" s="39" t="s">
        <v>16</v>
      </c>
      <c r="J4" s="39" t="s">
        <v>369</v>
      </c>
      <c r="K4" s="39" t="s">
        <v>370</v>
      </c>
      <c r="L4" s="39" t="s">
        <v>385</v>
      </c>
      <c r="M4" s="39" t="s">
        <v>16</v>
      </c>
      <c r="N4" s="39" t="s">
        <v>369</v>
      </c>
      <c r="O4" s="39" t="s">
        <v>370</v>
      </c>
      <c r="P4" s="39" t="s">
        <v>385</v>
      </c>
      <c r="Q4" s="39" t="s">
        <v>16</v>
      </c>
      <c r="R4" s="39" t="s">
        <v>385</v>
      </c>
      <c r="S4" s="39" t="s">
        <v>16</v>
      </c>
      <c r="T4" s="39" t="s">
        <v>369</v>
      </c>
      <c r="U4" s="39" t="s">
        <v>370</v>
      </c>
      <c r="V4" s="39" t="s">
        <v>385</v>
      </c>
      <c r="W4" s="39" t="s">
        <v>16</v>
      </c>
      <c r="X4" s="39" t="s">
        <v>369</v>
      </c>
      <c r="Y4" s="39" t="s">
        <v>370</v>
      </c>
      <c r="Z4" s="39" t="s">
        <v>385</v>
      </c>
      <c r="AA4" s="39" t="s">
        <v>16</v>
      </c>
      <c r="AB4" s="77"/>
      <c r="AC4" s="77"/>
      <c r="AD4" s="76"/>
      <c r="AE4" s="75"/>
      <c r="AF4" s="75"/>
      <c r="AG4" s="75"/>
      <c r="AH4" s="75"/>
      <c r="AI4" s="75"/>
      <c r="AJ4" s="75"/>
      <c r="AK4" s="75"/>
    </row>
    <row r="5" spans="1:37" s="21" customFormat="1" ht="13.95" customHeight="1">
      <c r="A5" s="28">
        <v>1</v>
      </c>
      <c r="B5" s="28">
        <v>2</v>
      </c>
      <c r="C5" s="28">
        <v>3</v>
      </c>
      <c r="D5" s="28" t="s">
        <v>395</v>
      </c>
      <c r="E5" s="28">
        <v>5</v>
      </c>
      <c r="F5" s="28">
        <v>6</v>
      </c>
      <c r="G5" s="28">
        <v>7</v>
      </c>
      <c r="H5" s="28" t="s">
        <v>396</v>
      </c>
      <c r="I5" s="28">
        <v>9</v>
      </c>
      <c r="J5" s="28">
        <v>10</v>
      </c>
      <c r="K5" s="28">
        <v>11</v>
      </c>
      <c r="L5" s="28" t="s">
        <v>397</v>
      </c>
      <c r="M5" s="28">
        <v>13</v>
      </c>
      <c r="N5" s="28">
        <v>14</v>
      </c>
      <c r="O5" s="28">
        <v>15</v>
      </c>
      <c r="P5" s="28" t="s">
        <v>398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 t="s">
        <v>399</v>
      </c>
      <c r="W5" s="28">
        <v>23</v>
      </c>
      <c r="X5" s="28">
        <v>24</v>
      </c>
      <c r="Y5" s="28">
        <v>25</v>
      </c>
      <c r="Z5" s="28" t="s">
        <v>400</v>
      </c>
      <c r="AA5" s="28">
        <v>27</v>
      </c>
      <c r="AB5" s="28">
        <v>28</v>
      </c>
      <c r="AC5" s="28">
        <v>29</v>
      </c>
      <c r="AD5" s="28">
        <v>30</v>
      </c>
      <c r="AE5" s="28" t="s">
        <v>407</v>
      </c>
      <c r="AF5" s="28" t="s">
        <v>408</v>
      </c>
      <c r="AG5" s="28" t="s">
        <v>409</v>
      </c>
      <c r="AH5" s="28">
        <v>34</v>
      </c>
      <c r="AI5" s="28" t="s">
        <v>410</v>
      </c>
      <c r="AJ5" s="28">
        <v>36</v>
      </c>
      <c r="AK5" s="28" t="s">
        <v>411</v>
      </c>
    </row>
    <row r="6" spans="1:37" s="3" customFormat="1" ht="16.95" customHeight="1">
      <c r="A6" s="40" t="s">
        <v>4</v>
      </c>
      <c r="B6" s="37">
        <f>SUM(B7:B16)</f>
        <v>68433311</v>
      </c>
      <c r="C6" s="37">
        <f>SUM(C7:C16)</f>
        <v>65198569.300000004</v>
      </c>
      <c r="D6" s="6">
        <f>C6/B6</f>
        <v>0.95273147458845009</v>
      </c>
      <c r="E6" s="24"/>
      <c r="F6" s="41"/>
      <c r="G6" s="41"/>
      <c r="H6" s="6"/>
      <c r="I6" s="24"/>
      <c r="J6" s="42"/>
      <c r="K6" s="42"/>
      <c r="L6" s="42"/>
      <c r="M6" s="24"/>
      <c r="N6" s="37">
        <f t="shared" ref="N6:O6" si="0">SUM(N7:N16)</f>
        <v>2724191.8</v>
      </c>
      <c r="O6" s="37">
        <f t="shared" si="0"/>
        <v>3101820.7</v>
      </c>
      <c r="P6" s="6">
        <f>O6/N6</f>
        <v>1.1386205259115751</v>
      </c>
      <c r="Q6" s="24"/>
      <c r="R6" s="43"/>
      <c r="S6" s="24"/>
      <c r="T6" s="42"/>
      <c r="U6" s="42"/>
      <c r="V6" s="42"/>
      <c r="W6" s="24"/>
      <c r="X6" s="42"/>
      <c r="Y6" s="44"/>
      <c r="Z6" s="44"/>
      <c r="AA6" s="24"/>
      <c r="AB6" s="25"/>
      <c r="AC6" s="23"/>
      <c r="AD6" s="22">
        <f>SUM(AD7:AD16)</f>
        <v>2231853</v>
      </c>
      <c r="AE6" s="37">
        <f>SUM(AE7:AE16)</f>
        <v>202895.72727272726</v>
      </c>
      <c r="AF6" s="37">
        <f>SUM(AF7:AF16)</f>
        <v>201890.80000000005</v>
      </c>
      <c r="AG6" s="37">
        <f>SUM(AG7:AG16)</f>
        <v>-1004.9272727272728</v>
      </c>
      <c r="AH6" s="37">
        <f t="shared" ref="AH6:AK6" si="1">SUM(AH7:AH16)</f>
        <v>29404.400000000001</v>
      </c>
      <c r="AI6" s="37">
        <f t="shared" si="1"/>
        <v>231295.19999999998</v>
      </c>
      <c r="AJ6" s="37">
        <f t="shared" si="1"/>
        <v>0</v>
      </c>
      <c r="AK6" s="37">
        <f t="shared" si="1"/>
        <v>231295.19999999998</v>
      </c>
    </row>
    <row r="7" spans="1:37" s="2" customFormat="1" ht="16.95" customHeight="1">
      <c r="A7" s="12" t="s">
        <v>5</v>
      </c>
      <c r="B7" s="38">
        <v>18834894</v>
      </c>
      <c r="C7" s="38">
        <v>19727255</v>
      </c>
      <c r="D7" s="4">
        <f>IF(E7=0,0,IF(B7=0,1,IF(C7&lt;0,0,C7/B7)))</f>
        <v>1.0473780739089904</v>
      </c>
      <c r="E7" s="11">
        <v>15</v>
      </c>
      <c r="F7" s="69" t="s">
        <v>412</v>
      </c>
      <c r="G7" s="69" t="s">
        <v>412</v>
      </c>
      <c r="H7" s="69" t="s">
        <v>412</v>
      </c>
      <c r="I7" s="69" t="s">
        <v>412</v>
      </c>
      <c r="J7" s="73">
        <v>0.4</v>
      </c>
      <c r="K7" s="73">
        <v>0.4</v>
      </c>
      <c r="L7" s="4">
        <f>IF(M7=0,0,IF(J7=0,1,IF(K7&lt;0,0,J7/K7)))</f>
        <v>1</v>
      </c>
      <c r="M7" s="11">
        <v>5</v>
      </c>
      <c r="N7" s="38">
        <v>1511645.7</v>
      </c>
      <c r="O7" s="38">
        <v>1933732.3</v>
      </c>
      <c r="P7" s="4">
        <f>IF(Q7=0,0,IF(N7=0,1,IF(O7&lt;0,0,O7/N7)))</f>
        <v>1.2792232333277567</v>
      </c>
      <c r="Q7" s="11">
        <v>20</v>
      </c>
      <c r="R7" s="11">
        <v>1</v>
      </c>
      <c r="S7" s="11">
        <v>15</v>
      </c>
      <c r="T7" s="5" t="s">
        <v>371</v>
      </c>
      <c r="U7" s="5" t="s">
        <v>371</v>
      </c>
      <c r="V7" s="5" t="s">
        <v>371</v>
      </c>
      <c r="W7" s="5" t="s">
        <v>371</v>
      </c>
      <c r="X7" s="5" t="s">
        <v>371</v>
      </c>
      <c r="Y7" s="5" t="s">
        <v>371</v>
      </c>
      <c r="Z7" s="5" t="s">
        <v>371</v>
      </c>
      <c r="AA7" s="5" t="s">
        <v>371</v>
      </c>
      <c r="AB7" s="50">
        <f>(D7*E7+L7*M7+P7*Q7+R7*S7)/(E7+M7+Q7+S7)</f>
        <v>1.1144570140943635</v>
      </c>
      <c r="AC7" s="50">
        <f>IF(AB7&gt;1.2,IF((AB7-1.2)*0.1+1.2&gt;1.3,1.3,(AB7-1.2)*0.1+1.2),AB7)</f>
        <v>1.1144570140943635</v>
      </c>
      <c r="AD7" s="51">
        <v>372155</v>
      </c>
      <c r="AE7" s="38">
        <f>AD7/11</f>
        <v>33832.272727272728</v>
      </c>
      <c r="AF7" s="38">
        <f>ROUND(AC7*AE7,1)</f>
        <v>37704.6</v>
      </c>
      <c r="AG7" s="38">
        <f>AF7-AE7</f>
        <v>3872.3272727272706</v>
      </c>
      <c r="AH7" s="38">
        <v>2244.6</v>
      </c>
      <c r="AI7" s="38">
        <f>AF7+AH7</f>
        <v>39949.199999999997</v>
      </c>
      <c r="AJ7" s="38"/>
      <c r="AK7" s="38">
        <f>IF((AI7-AJ7)&gt;0,ROUND(AI7-AJ7,1),0)</f>
        <v>39949.199999999997</v>
      </c>
    </row>
    <row r="8" spans="1:37" s="2" customFormat="1" ht="16.95" customHeight="1">
      <c r="A8" s="12" t="s">
        <v>6</v>
      </c>
      <c r="B8" s="38">
        <v>34145000</v>
      </c>
      <c r="C8" s="38">
        <v>29711723</v>
      </c>
      <c r="D8" s="4">
        <f t="shared" ref="D8:D16" si="2">IF(E8=0,0,IF(B8=0,1,IF(C8&lt;0,0,C8/B8)))</f>
        <v>0.87016321569775956</v>
      </c>
      <c r="E8" s="11">
        <v>20</v>
      </c>
      <c r="F8" s="69" t="s">
        <v>412</v>
      </c>
      <c r="G8" s="69" t="s">
        <v>412</v>
      </c>
      <c r="H8" s="69" t="s">
        <v>412</v>
      </c>
      <c r="I8" s="69" t="s">
        <v>412</v>
      </c>
      <c r="J8" s="73">
        <v>0.9</v>
      </c>
      <c r="K8" s="73">
        <v>0.9</v>
      </c>
      <c r="L8" s="4">
        <f t="shared" ref="L8:L16" si="3">IF(M8=0,0,IF(J8=0,1,IF(K8&lt;0,0,J8/K8)))</f>
        <v>1</v>
      </c>
      <c r="M8" s="11">
        <v>15</v>
      </c>
      <c r="N8" s="38">
        <v>718672.2</v>
      </c>
      <c r="O8" s="38">
        <v>726149.7</v>
      </c>
      <c r="P8" s="4">
        <f t="shared" ref="P8:P16" si="4">IF(Q8=0,0,IF(N8=0,1,IF(O8&lt;0,0,O8/N8)))</f>
        <v>1.0104046044914496</v>
      </c>
      <c r="Q8" s="11">
        <v>20</v>
      </c>
      <c r="R8" s="11">
        <v>1</v>
      </c>
      <c r="S8" s="11">
        <v>15</v>
      </c>
      <c r="T8" s="5" t="s">
        <v>371</v>
      </c>
      <c r="U8" s="5" t="s">
        <v>371</v>
      </c>
      <c r="V8" s="5" t="s">
        <v>371</v>
      </c>
      <c r="W8" s="5" t="s">
        <v>371</v>
      </c>
      <c r="X8" s="5" t="s">
        <v>371</v>
      </c>
      <c r="Y8" s="5" t="s">
        <v>371</v>
      </c>
      <c r="Z8" s="5" t="s">
        <v>371</v>
      </c>
      <c r="AA8" s="5" t="s">
        <v>371</v>
      </c>
      <c r="AB8" s="50">
        <f t="shared" ref="AB8:AB16" si="5">(D8*E8+L8*M8+P8*Q8+R8*S8)/(E8+M8+Q8+S8)</f>
        <v>0.96587652005405977</v>
      </c>
      <c r="AC8" s="50">
        <f t="shared" ref="AC8:AC16" si="6">IF(AB8&gt;1.2,IF((AB8-1.2)*0.1+1.2&gt;1.3,1.3,(AB8-1.2)*0.1+1.2),AB8)</f>
        <v>0.96587652005405977</v>
      </c>
      <c r="AD8" s="51">
        <v>280856</v>
      </c>
      <c r="AE8" s="38">
        <f t="shared" ref="AE8:AE16" si="7">AD8/11</f>
        <v>25532.363636363636</v>
      </c>
      <c r="AF8" s="38">
        <f t="shared" ref="AF8:AF16" si="8">ROUND(AC8*AE8,1)</f>
        <v>24661.1</v>
      </c>
      <c r="AG8" s="38">
        <f t="shared" ref="AG8:AG16" si="9">AF8-AE8</f>
        <v>-871.26363636363749</v>
      </c>
      <c r="AH8" s="38">
        <v>5990.5</v>
      </c>
      <c r="AI8" s="38">
        <f t="shared" ref="AI8:AI16" si="10">AF8+AH8</f>
        <v>30651.599999999999</v>
      </c>
      <c r="AJ8" s="38"/>
      <c r="AK8" s="38">
        <f t="shared" ref="AK8:AK16" si="11">IF((AI8-AJ8)&gt;0,ROUND(AI8-AJ8,1),0)</f>
        <v>30651.599999999999</v>
      </c>
    </row>
    <row r="9" spans="1:37" s="2" customFormat="1" ht="16.95" customHeight="1">
      <c r="A9" s="12" t="s">
        <v>7</v>
      </c>
      <c r="B9" s="38">
        <v>3665903</v>
      </c>
      <c r="C9" s="38">
        <v>3694853</v>
      </c>
      <c r="D9" s="4">
        <f t="shared" si="2"/>
        <v>1.0078970992958625</v>
      </c>
      <c r="E9" s="11">
        <v>20</v>
      </c>
      <c r="F9" s="69" t="s">
        <v>412</v>
      </c>
      <c r="G9" s="69" t="s">
        <v>412</v>
      </c>
      <c r="H9" s="69" t="s">
        <v>412</v>
      </c>
      <c r="I9" s="69" t="s">
        <v>412</v>
      </c>
      <c r="J9" s="73">
        <v>0.6</v>
      </c>
      <c r="K9" s="73">
        <v>0.6</v>
      </c>
      <c r="L9" s="4">
        <f t="shared" si="3"/>
        <v>1</v>
      </c>
      <c r="M9" s="11">
        <v>5</v>
      </c>
      <c r="N9" s="38">
        <v>160565.20000000001</v>
      </c>
      <c r="O9" s="38">
        <v>134866.1</v>
      </c>
      <c r="P9" s="4">
        <f t="shared" si="4"/>
        <v>0.8399460156995413</v>
      </c>
      <c r="Q9" s="11">
        <v>20</v>
      </c>
      <c r="R9" s="11">
        <v>1</v>
      </c>
      <c r="S9" s="11">
        <v>15</v>
      </c>
      <c r="T9" s="5" t="s">
        <v>371</v>
      </c>
      <c r="U9" s="5" t="s">
        <v>371</v>
      </c>
      <c r="V9" s="5" t="s">
        <v>371</v>
      </c>
      <c r="W9" s="5" t="s">
        <v>371</v>
      </c>
      <c r="X9" s="5" t="s">
        <v>371</v>
      </c>
      <c r="Y9" s="5" t="s">
        <v>371</v>
      </c>
      <c r="Z9" s="5" t="s">
        <v>371</v>
      </c>
      <c r="AA9" s="5" t="s">
        <v>371</v>
      </c>
      <c r="AB9" s="50">
        <f t="shared" si="5"/>
        <v>0.94928103833180122</v>
      </c>
      <c r="AC9" s="50">
        <f t="shared" si="6"/>
        <v>0.94928103833180122</v>
      </c>
      <c r="AD9" s="51">
        <v>415274</v>
      </c>
      <c r="AE9" s="38">
        <f t="shared" si="7"/>
        <v>37752.181818181816</v>
      </c>
      <c r="AF9" s="38">
        <f t="shared" si="8"/>
        <v>35837.4</v>
      </c>
      <c r="AG9" s="38">
        <f t="shared" si="9"/>
        <v>-1914.7818181818147</v>
      </c>
      <c r="AH9" s="38">
        <v>14341.6</v>
      </c>
      <c r="AI9" s="38">
        <f t="shared" si="10"/>
        <v>50179</v>
      </c>
      <c r="AJ9" s="38"/>
      <c r="AK9" s="38">
        <f t="shared" si="11"/>
        <v>50179</v>
      </c>
    </row>
    <row r="10" spans="1:37" s="2" customFormat="1" ht="16.95" customHeight="1">
      <c r="A10" s="12" t="s">
        <v>8</v>
      </c>
      <c r="B10" s="38">
        <v>6020765</v>
      </c>
      <c r="C10" s="38">
        <v>6612433.5</v>
      </c>
      <c r="D10" s="4">
        <f t="shared" si="2"/>
        <v>1.0982713160204725</v>
      </c>
      <c r="E10" s="11">
        <v>20</v>
      </c>
      <c r="F10" s="69" t="s">
        <v>412</v>
      </c>
      <c r="G10" s="69" t="s">
        <v>412</v>
      </c>
      <c r="H10" s="69" t="s">
        <v>412</v>
      </c>
      <c r="I10" s="69" t="s">
        <v>412</v>
      </c>
      <c r="J10" s="73">
        <v>0.7</v>
      </c>
      <c r="K10" s="73">
        <v>0.6</v>
      </c>
      <c r="L10" s="4">
        <f t="shared" si="3"/>
        <v>1.1666666666666667</v>
      </c>
      <c r="M10" s="11">
        <v>10</v>
      </c>
      <c r="N10" s="38">
        <v>130782.9</v>
      </c>
      <c r="O10" s="38">
        <v>128446.9</v>
      </c>
      <c r="P10" s="4">
        <f t="shared" si="4"/>
        <v>0.98213833765729308</v>
      </c>
      <c r="Q10" s="11">
        <v>20</v>
      </c>
      <c r="R10" s="11">
        <v>1</v>
      </c>
      <c r="S10" s="11">
        <v>15</v>
      </c>
      <c r="T10" s="5" t="s">
        <v>371</v>
      </c>
      <c r="U10" s="5" t="s">
        <v>371</v>
      </c>
      <c r="V10" s="5" t="s">
        <v>371</v>
      </c>
      <c r="W10" s="5" t="s">
        <v>371</v>
      </c>
      <c r="X10" s="5" t="s">
        <v>371</v>
      </c>
      <c r="Y10" s="5" t="s">
        <v>371</v>
      </c>
      <c r="Z10" s="5" t="s">
        <v>371</v>
      </c>
      <c r="AA10" s="5" t="s">
        <v>371</v>
      </c>
      <c r="AB10" s="50">
        <f t="shared" si="5"/>
        <v>1.0503824575418768</v>
      </c>
      <c r="AC10" s="50">
        <f t="shared" si="6"/>
        <v>1.0503824575418768</v>
      </c>
      <c r="AD10" s="51">
        <v>257875</v>
      </c>
      <c r="AE10" s="38">
        <f t="shared" si="7"/>
        <v>23443.18181818182</v>
      </c>
      <c r="AF10" s="38">
        <f t="shared" si="8"/>
        <v>24624.3</v>
      </c>
      <c r="AG10" s="38">
        <f t="shared" si="9"/>
        <v>1181.1181818181794</v>
      </c>
      <c r="AH10" s="38">
        <v>-7244</v>
      </c>
      <c r="AI10" s="38">
        <f t="shared" si="10"/>
        <v>17380.3</v>
      </c>
      <c r="AJ10" s="38"/>
      <c r="AK10" s="38">
        <f t="shared" si="11"/>
        <v>17380.3</v>
      </c>
    </row>
    <row r="11" spans="1:37" s="2" customFormat="1" ht="16.95" customHeight="1">
      <c r="A11" s="12" t="s">
        <v>9</v>
      </c>
      <c r="B11" s="38">
        <v>602022</v>
      </c>
      <c r="C11" s="38">
        <v>624990</v>
      </c>
      <c r="D11" s="4">
        <f t="shared" si="2"/>
        <v>1.0381514296819718</v>
      </c>
      <c r="E11" s="11">
        <v>20</v>
      </c>
      <c r="F11" s="69" t="s">
        <v>412</v>
      </c>
      <c r="G11" s="69" t="s">
        <v>412</v>
      </c>
      <c r="H11" s="69" t="s">
        <v>412</v>
      </c>
      <c r="I11" s="69" t="s">
        <v>412</v>
      </c>
      <c r="J11" s="73">
        <v>1.2</v>
      </c>
      <c r="K11" s="73">
        <v>1</v>
      </c>
      <c r="L11" s="4">
        <f t="shared" si="3"/>
        <v>1.2</v>
      </c>
      <c r="M11" s="11">
        <v>10</v>
      </c>
      <c r="N11" s="38">
        <v>59032.6</v>
      </c>
      <c r="O11" s="38">
        <v>34502</v>
      </c>
      <c r="P11" s="4">
        <f t="shared" si="4"/>
        <v>0.58445672391187242</v>
      </c>
      <c r="Q11" s="11">
        <v>20</v>
      </c>
      <c r="R11" s="11">
        <v>1</v>
      </c>
      <c r="S11" s="11">
        <v>15</v>
      </c>
      <c r="T11" s="5" t="s">
        <v>371</v>
      </c>
      <c r="U11" s="5" t="s">
        <v>371</v>
      </c>
      <c r="V11" s="5" t="s">
        <v>371</v>
      </c>
      <c r="W11" s="5" t="s">
        <v>371</v>
      </c>
      <c r="X11" s="5" t="s">
        <v>371</v>
      </c>
      <c r="Y11" s="5" t="s">
        <v>371</v>
      </c>
      <c r="Z11" s="5" t="s">
        <v>371</v>
      </c>
      <c r="AA11" s="5" t="s">
        <v>371</v>
      </c>
      <c r="AB11" s="50">
        <f t="shared" si="5"/>
        <v>0.9146486626442597</v>
      </c>
      <c r="AC11" s="50">
        <f t="shared" si="6"/>
        <v>0.9146486626442597</v>
      </c>
      <c r="AD11" s="51">
        <v>213571</v>
      </c>
      <c r="AE11" s="38">
        <f t="shared" si="7"/>
        <v>19415.545454545456</v>
      </c>
      <c r="AF11" s="38">
        <f t="shared" si="8"/>
        <v>17758.400000000001</v>
      </c>
      <c r="AG11" s="38">
        <f t="shared" si="9"/>
        <v>-1657.1454545454544</v>
      </c>
      <c r="AH11" s="38">
        <v>-1613</v>
      </c>
      <c r="AI11" s="38">
        <f t="shared" si="10"/>
        <v>16145.400000000001</v>
      </c>
      <c r="AJ11" s="38"/>
      <c r="AK11" s="38">
        <f t="shared" si="11"/>
        <v>16145.4</v>
      </c>
    </row>
    <row r="12" spans="1:37" s="2" customFormat="1" ht="16.95" customHeight="1">
      <c r="A12" s="12" t="s">
        <v>10</v>
      </c>
      <c r="B12" s="38">
        <v>2282563</v>
      </c>
      <c r="C12" s="38">
        <v>2325619.2000000002</v>
      </c>
      <c r="D12" s="4">
        <f t="shared" si="2"/>
        <v>1.0188630938116496</v>
      </c>
      <c r="E12" s="11">
        <v>20</v>
      </c>
      <c r="F12" s="69" t="s">
        <v>412</v>
      </c>
      <c r="G12" s="69" t="s">
        <v>412</v>
      </c>
      <c r="H12" s="69" t="s">
        <v>412</v>
      </c>
      <c r="I12" s="69" t="s">
        <v>412</v>
      </c>
      <c r="J12" s="73">
        <v>1.3</v>
      </c>
      <c r="K12" s="73">
        <v>1.1000000000000001</v>
      </c>
      <c r="L12" s="4">
        <f t="shared" si="3"/>
        <v>1.1818181818181817</v>
      </c>
      <c r="M12" s="11">
        <v>15</v>
      </c>
      <c r="N12" s="38">
        <v>34005.5</v>
      </c>
      <c r="O12" s="38">
        <v>33369.199999999997</v>
      </c>
      <c r="P12" s="4">
        <f t="shared" si="4"/>
        <v>0.98128832100689589</v>
      </c>
      <c r="Q12" s="11">
        <v>20</v>
      </c>
      <c r="R12" s="11">
        <v>1</v>
      </c>
      <c r="S12" s="11">
        <v>15</v>
      </c>
      <c r="T12" s="5" t="s">
        <v>371</v>
      </c>
      <c r="U12" s="5" t="s">
        <v>371</v>
      </c>
      <c r="V12" s="5" t="s">
        <v>371</v>
      </c>
      <c r="W12" s="5" t="s">
        <v>371</v>
      </c>
      <c r="X12" s="5" t="s">
        <v>371</v>
      </c>
      <c r="Y12" s="5" t="s">
        <v>371</v>
      </c>
      <c r="Z12" s="5" t="s">
        <v>371</v>
      </c>
      <c r="AA12" s="5" t="s">
        <v>371</v>
      </c>
      <c r="AB12" s="50">
        <f t="shared" si="5"/>
        <v>1.0390043003377663</v>
      </c>
      <c r="AC12" s="50">
        <f t="shared" si="6"/>
        <v>1.0390043003377663</v>
      </c>
      <c r="AD12" s="51">
        <v>118130</v>
      </c>
      <c r="AE12" s="38">
        <f t="shared" si="7"/>
        <v>10739.09090909091</v>
      </c>
      <c r="AF12" s="38">
        <f t="shared" si="8"/>
        <v>11158</v>
      </c>
      <c r="AG12" s="38">
        <f t="shared" si="9"/>
        <v>418.90909090909008</v>
      </c>
      <c r="AH12" s="38">
        <v>-1310.0999999999999</v>
      </c>
      <c r="AI12" s="38">
        <f t="shared" si="10"/>
        <v>9847.9</v>
      </c>
      <c r="AJ12" s="38"/>
      <c r="AK12" s="38">
        <f t="shared" si="11"/>
        <v>9847.9</v>
      </c>
    </row>
    <row r="13" spans="1:37" s="2" customFormat="1" ht="16.95" customHeight="1">
      <c r="A13" s="12" t="s">
        <v>11</v>
      </c>
      <c r="B13" s="38">
        <v>2380149</v>
      </c>
      <c r="C13" s="38">
        <v>2097947.5</v>
      </c>
      <c r="D13" s="4">
        <f t="shared" si="2"/>
        <v>0.88143536392049404</v>
      </c>
      <c r="E13" s="11">
        <v>20</v>
      </c>
      <c r="F13" s="69" t="s">
        <v>412</v>
      </c>
      <c r="G13" s="69" t="s">
        <v>412</v>
      </c>
      <c r="H13" s="69" t="s">
        <v>412</v>
      </c>
      <c r="I13" s="69" t="s">
        <v>412</v>
      </c>
      <c r="J13" s="73">
        <v>1.1000000000000001</v>
      </c>
      <c r="K13" s="73">
        <v>1.2</v>
      </c>
      <c r="L13" s="4">
        <f t="shared" si="3"/>
        <v>0.91666666666666674</v>
      </c>
      <c r="M13" s="11">
        <v>10</v>
      </c>
      <c r="N13" s="38">
        <v>42057.5</v>
      </c>
      <c r="O13" s="38">
        <v>42839.4</v>
      </c>
      <c r="P13" s="4">
        <f t="shared" si="4"/>
        <v>1.0185912144088451</v>
      </c>
      <c r="Q13" s="11">
        <v>20</v>
      </c>
      <c r="R13" s="11">
        <v>1</v>
      </c>
      <c r="S13" s="11">
        <v>15</v>
      </c>
      <c r="T13" s="5" t="s">
        <v>371</v>
      </c>
      <c r="U13" s="5" t="s">
        <v>371</v>
      </c>
      <c r="V13" s="5" t="s">
        <v>371</v>
      </c>
      <c r="W13" s="5" t="s">
        <v>371</v>
      </c>
      <c r="X13" s="5" t="s">
        <v>371</v>
      </c>
      <c r="Y13" s="5" t="s">
        <v>371</v>
      </c>
      <c r="Z13" s="5" t="s">
        <v>371</v>
      </c>
      <c r="AA13" s="5" t="s">
        <v>371</v>
      </c>
      <c r="AB13" s="50">
        <f t="shared" si="5"/>
        <v>0.95641843435774543</v>
      </c>
      <c r="AC13" s="50">
        <f t="shared" si="6"/>
        <v>0.95641843435774543</v>
      </c>
      <c r="AD13" s="51">
        <v>173526</v>
      </c>
      <c r="AE13" s="38">
        <f t="shared" si="7"/>
        <v>15775.09090909091</v>
      </c>
      <c r="AF13" s="38">
        <f t="shared" si="8"/>
        <v>15087.6</v>
      </c>
      <c r="AG13" s="38">
        <f t="shared" si="9"/>
        <v>-687.49090909090955</v>
      </c>
      <c r="AH13" s="38">
        <v>-1546.4</v>
      </c>
      <c r="AI13" s="38">
        <f t="shared" si="10"/>
        <v>13541.2</v>
      </c>
      <c r="AJ13" s="38"/>
      <c r="AK13" s="38">
        <f t="shared" si="11"/>
        <v>13541.2</v>
      </c>
    </row>
    <row r="14" spans="1:37" s="2" customFormat="1" ht="16.95" customHeight="1">
      <c r="A14" s="12" t="s">
        <v>12</v>
      </c>
      <c r="B14" s="38">
        <v>51350</v>
      </c>
      <c r="C14" s="38">
        <v>65041.1</v>
      </c>
      <c r="D14" s="4">
        <f t="shared" si="2"/>
        <v>1.2666231742940603</v>
      </c>
      <c r="E14" s="11">
        <v>20</v>
      </c>
      <c r="F14" s="69" t="s">
        <v>412</v>
      </c>
      <c r="G14" s="69" t="s">
        <v>412</v>
      </c>
      <c r="H14" s="69" t="s">
        <v>412</v>
      </c>
      <c r="I14" s="69" t="s">
        <v>412</v>
      </c>
      <c r="J14" s="73">
        <v>1.5</v>
      </c>
      <c r="K14" s="73">
        <v>1.5</v>
      </c>
      <c r="L14" s="4">
        <f t="shared" si="3"/>
        <v>1</v>
      </c>
      <c r="M14" s="11">
        <v>15</v>
      </c>
      <c r="N14" s="38">
        <v>14078.4</v>
      </c>
      <c r="O14" s="38">
        <v>14082.7</v>
      </c>
      <c r="P14" s="4">
        <f t="shared" si="4"/>
        <v>1.0003054324355041</v>
      </c>
      <c r="Q14" s="11">
        <v>20</v>
      </c>
      <c r="R14" s="11">
        <v>1</v>
      </c>
      <c r="S14" s="11">
        <v>15</v>
      </c>
      <c r="T14" s="5" t="s">
        <v>371</v>
      </c>
      <c r="U14" s="5" t="s">
        <v>371</v>
      </c>
      <c r="V14" s="5" t="s">
        <v>371</v>
      </c>
      <c r="W14" s="5" t="s">
        <v>371</v>
      </c>
      <c r="X14" s="5" t="s">
        <v>371</v>
      </c>
      <c r="Y14" s="5" t="s">
        <v>371</v>
      </c>
      <c r="Z14" s="5" t="s">
        <v>371</v>
      </c>
      <c r="AA14" s="5" t="s">
        <v>371</v>
      </c>
      <c r="AB14" s="50">
        <f t="shared" si="5"/>
        <v>1.076265316208447</v>
      </c>
      <c r="AC14" s="50">
        <f t="shared" si="6"/>
        <v>1.076265316208447</v>
      </c>
      <c r="AD14" s="51">
        <v>109203</v>
      </c>
      <c r="AE14" s="38">
        <f t="shared" si="7"/>
        <v>9927.545454545454</v>
      </c>
      <c r="AF14" s="38">
        <f t="shared" si="8"/>
        <v>10684.7</v>
      </c>
      <c r="AG14" s="38">
        <f t="shared" si="9"/>
        <v>757.15454545454668</v>
      </c>
      <c r="AH14" s="38">
        <v>-427.9</v>
      </c>
      <c r="AI14" s="38">
        <f t="shared" si="10"/>
        <v>10256.800000000001</v>
      </c>
      <c r="AJ14" s="38"/>
      <c r="AK14" s="38">
        <f t="shared" si="11"/>
        <v>10256.799999999999</v>
      </c>
    </row>
    <row r="15" spans="1:37" s="2" customFormat="1" ht="16.95" customHeight="1">
      <c r="A15" s="12" t="s">
        <v>13</v>
      </c>
      <c r="B15" s="38">
        <v>371251</v>
      </c>
      <c r="C15" s="38">
        <v>287973.09999999998</v>
      </c>
      <c r="D15" s="4">
        <f t="shared" si="2"/>
        <v>0.7756830284632229</v>
      </c>
      <c r="E15" s="11">
        <v>20</v>
      </c>
      <c r="F15" s="69" t="s">
        <v>412</v>
      </c>
      <c r="G15" s="69" t="s">
        <v>412</v>
      </c>
      <c r="H15" s="69" t="s">
        <v>412</v>
      </c>
      <c r="I15" s="69" t="s">
        <v>412</v>
      </c>
      <c r="J15" s="73">
        <v>0.9</v>
      </c>
      <c r="K15" s="73">
        <v>0.9</v>
      </c>
      <c r="L15" s="4">
        <f t="shared" si="3"/>
        <v>1</v>
      </c>
      <c r="M15" s="11">
        <v>10</v>
      </c>
      <c r="N15" s="38">
        <v>31928</v>
      </c>
      <c r="O15" s="38">
        <v>35488.1</v>
      </c>
      <c r="P15" s="4">
        <f t="shared" si="4"/>
        <v>1.1115040090202957</v>
      </c>
      <c r="Q15" s="11">
        <v>20</v>
      </c>
      <c r="R15" s="11">
        <v>1</v>
      </c>
      <c r="S15" s="11">
        <v>15</v>
      </c>
      <c r="T15" s="5" t="s">
        <v>371</v>
      </c>
      <c r="U15" s="5" t="s">
        <v>371</v>
      </c>
      <c r="V15" s="5" t="s">
        <v>371</v>
      </c>
      <c r="W15" s="5" t="s">
        <v>371</v>
      </c>
      <c r="X15" s="5" t="s">
        <v>371</v>
      </c>
      <c r="Y15" s="5" t="s">
        <v>371</v>
      </c>
      <c r="Z15" s="5" t="s">
        <v>371</v>
      </c>
      <c r="AA15" s="5" t="s">
        <v>371</v>
      </c>
      <c r="AB15" s="50">
        <f t="shared" si="5"/>
        <v>0.96528831922569802</v>
      </c>
      <c r="AC15" s="50">
        <f t="shared" si="6"/>
        <v>0.96528831922569802</v>
      </c>
      <c r="AD15" s="51">
        <v>183246</v>
      </c>
      <c r="AE15" s="38">
        <f t="shared" si="7"/>
        <v>16658.727272727272</v>
      </c>
      <c r="AF15" s="38">
        <f t="shared" si="8"/>
        <v>16080.5</v>
      </c>
      <c r="AG15" s="38">
        <f t="shared" si="9"/>
        <v>-578.22727272727207</v>
      </c>
      <c r="AH15" s="38">
        <v>9293.2000000000007</v>
      </c>
      <c r="AI15" s="38">
        <f t="shared" si="10"/>
        <v>25373.7</v>
      </c>
      <c r="AJ15" s="38"/>
      <c r="AK15" s="38">
        <f t="shared" si="11"/>
        <v>25373.7</v>
      </c>
    </row>
    <row r="16" spans="1:37" s="2" customFormat="1" ht="16.95" customHeight="1">
      <c r="A16" s="12" t="s">
        <v>14</v>
      </c>
      <c r="B16" s="38">
        <v>79414</v>
      </c>
      <c r="C16" s="38">
        <v>50733.9</v>
      </c>
      <c r="D16" s="4">
        <f t="shared" si="2"/>
        <v>0.63885335079457028</v>
      </c>
      <c r="E16" s="11">
        <v>20</v>
      </c>
      <c r="F16" s="69" t="s">
        <v>412</v>
      </c>
      <c r="G16" s="69" t="s">
        <v>412</v>
      </c>
      <c r="H16" s="69" t="s">
        <v>412</v>
      </c>
      <c r="I16" s="69" t="s">
        <v>412</v>
      </c>
      <c r="J16" s="73">
        <v>1.1000000000000001</v>
      </c>
      <c r="K16" s="73">
        <v>1.1000000000000001</v>
      </c>
      <c r="L16" s="4">
        <f t="shared" si="3"/>
        <v>1</v>
      </c>
      <c r="M16" s="11">
        <v>10</v>
      </c>
      <c r="N16" s="38">
        <v>21423.8</v>
      </c>
      <c r="O16" s="38">
        <v>18344.3</v>
      </c>
      <c r="P16" s="4">
        <f t="shared" si="4"/>
        <v>0.85625799344654074</v>
      </c>
      <c r="Q16" s="11">
        <v>20</v>
      </c>
      <c r="R16" s="11">
        <v>1</v>
      </c>
      <c r="S16" s="11">
        <v>15</v>
      </c>
      <c r="T16" s="5" t="s">
        <v>371</v>
      </c>
      <c r="U16" s="5" t="s">
        <v>371</v>
      </c>
      <c r="V16" s="5" t="s">
        <v>371</v>
      </c>
      <c r="W16" s="5" t="s">
        <v>371</v>
      </c>
      <c r="X16" s="5" t="s">
        <v>371</v>
      </c>
      <c r="Y16" s="5" t="s">
        <v>371</v>
      </c>
      <c r="Z16" s="5" t="s">
        <v>371</v>
      </c>
      <c r="AA16" s="5" t="s">
        <v>371</v>
      </c>
      <c r="AB16" s="50">
        <f t="shared" si="5"/>
        <v>0.84464964438188028</v>
      </c>
      <c r="AC16" s="50">
        <f t="shared" si="6"/>
        <v>0.84464964438188028</v>
      </c>
      <c r="AD16" s="51">
        <v>108017</v>
      </c>
      <c r="AE16" s="38">
        <f t="shared" si="7"/>
        <v>9819.7272727272721</v>
      </c>
      <c r="AF16" s="38">
        <f t="shared" si="8"/>
        <v>8294.2000000000007</v>
      </c>
      <c r="AG16" s="38">
        <f t="shared" si="9"/>
        <v>-1525.5272727272713</v>
      </c>
      <c r="AH16" s="38">
        <v>9675.9</v>
      </c>
      <c r="AI16" s="38">
        <f t="shared" si="10"/>
        <v>17970.099999999999</v>
      </c>
      <c r="AJ16" s="38"/>
      <c r="AK16" s="38">
        <f t="shared" si="11"/>
        <v>17970.099999999999</v>
      </c>
    </row>
    <row r="17" spans="1:37" s="2" customFormat="1" ht="16.95" customHeight="1">
      <c r="A17" s="15" t="s">
        <v>21</v>
      </c>
      <c r="B17" s="37">
        <f>SUM(B18:B44)</f>
        <v>6515350</v>
      </c>
      <c r="C17" s="37">
        <f>SUM(C18:C44)</f>
        <v>6234000.8000000007</v>
      </c>
      <c r="D17" s="6">
        <f>C17/B17</f>
        <v>0.9568174848626706</v>
      </c>
      <c r="E17" s="24"/>
      <c r="F17" s="22"/>
      <c r="G17" s="22"/>
      <c r="H17" s="6"/>
      <c r="I17" s="24"/>
      <c r="J17" s="20"/>
      <c r="K17" s="20"/>
      <c r="L17" s="7"/>
      <c r="M17" s="24"/>
      <c r="N17" s="37">
        <f>SUM(N18:N44)</f>
        <v>506730.10000000003</v>
      </c>
      <c r="O17" s="37">
        <f>SUM(O18:O44)</f>
        <v>789855.70000000019</v>
      </c>
      <c r="P17" s="6">
        <f>O17/N17</f>
        <v>1.5587305747181786</v>
      </c>
      <c r="Q17" s="24"/>
      <c r="R17" s="6"/>
      <c r="S17" s="24"/>
      <c r="T17" s="37">
        <f t="shared" ref="T17:U17" si="12">SUM(T18:T44)</f>
        <v>14439.7</v>
      </c>
      <c r="U17" s="37">
        <f t="shared" si="12"/>
        <v>15920.900000000003</v>
      </c>
      <c r="V17" s="6">
        <f>U17/T17</f>
        <v>1.1025783084136098</v>
      </c>
      <c r="W17" s="24"/>
      <c r="X17" s="37">
        <f t="shared" ref="X17" si="13">SUM(X18:X44)</f>
        <v>5063.9000000000005</v>
      </c>
      <c r="Y17" s="37">
        <f t="shared" ref="Y17" si="14">SUM(Y18:Y44)</f>
        <v>5011.1000000000004</v>
      </c>
      <c r="Z17" s="6">
        <f>Y17/X17</f>
        <v>0.98957325381622852</v>
      </c>
      <c r="AA17" s="24"/>
      <c r="AB17" s="25"/>
      <c r="AC17" s="23"/>
      <c r="AD17" s="22">
        <f>SUM(AD18:AD44)</f>
        <v>1115907</v>
      </c>
      <c r="AE17" s="37">
        <f>SUM(AE18:AE44)</f>
        <v>101446.09090909091</v>
      </c>
      <c r="AF17" s="37">
        <f>SUM(AF18:AF44)</f>
        <v>107915.90000000002</v>
      </c>
      <c r="AG17" s="37">
        <f>SUM(AG18:AG44)</f>
        <v>6469.8090909090915</v>
      </c>
      <c r="AH17" s="37">
        <f t="shared" ref="AH17:AK17" si="15">SUM(AH18:AH44)</f>
        <v>47621</v>
      </c>
      <c r="AI17" s="37">
        <f t="shared" si="15"/>
        <v>155536.90000000002</v>
      </c>
      <c r="AJ17" s="37">
        <f t="shared" si="15"/>
        <v>0</v>
      </c>
      <c r="AK17" s="37">
        <f t="shared" si="15"/>
        <v>155536.90000000002</v>
      </c>
    </row>
    <row r="18" spans="1:37" s="2" customFormat="1" ht="16.95" customHeight="1">
      <c r="A18" s="13" t="s">
        <v>0</v>
      </c>
      <c r="B18" s="38">
        <v>5470</v>
      </c>
      <c r="C18" s="38">
        <v>6289</v>
      </c>
      <c r="D18" s="4">
        <f t="shared" ref="D18:D44" si="16">IF(E18=0,0,IF(B18=0,1,IF(C18&lt;0,0,C18/B18)))</f>
        <v>1.1497257769652651</v>
      </c>
      <c r="E18" s="11">
        <v>10</v>
      </c>
      <c r="F18" s="69" t="s">
        <v>412</v>
      </c>
      <c r="G18" s="69" t="s">
        <v>412</v>
      </c>
      <c r="H18" s="69" t="s">
        <v>412</v>
      </c>
      <c r="I18" s="69" t="s">
        <v>412</v>
      </c>
      <c r="J18" s="73">
        <v>2.4</v>
      </c>
      <c r="K18" s="73">
        <v>2.2999999999999998</v>
      </c>
      <c r="L18" s="4">
        <f t="shared" ref="L18:L44" si="17">IF(M18=0,0,IF(J18=0,1,IF(K18&lt;0,0,J18/K18)))</f>
        <v>1.0434782608695652</v>
      </c>
      <c r="M18" s="11">
        <v>15</v>
      </c>
      <c r="N18" s="38">
        <v>6695.7</v>
      </c>
      <c r="O18" s="38">
        <v>4561.2</v>
      </c>
      <c r="P18" s="4">
        <f t="shared" ref="P18:P44" si="18">IF(Q18=0,0,IF(N18=0,1,IF(O18&lt;0,0,O18/N18)))</f>
        <v>0.68121331600878177</v>
      </c>
      <c r="Q18" s="11">
        <v>20</v>
      </c>
      <c r="R18" s="11">
        <v>1</v>
      </c>
      <c r="S18" s="11">
        <v>15</v>
      </c>
      <c r="T18" s="38">
        <v>262</v>
      </c>
      <c r="U18" s="38">
        <v>286.7</v>
      </c>
      <c r="V18" s="4">
        <f>IF(W18=0,0,IF(T18=0,1,IF(U18&lt;0,0,U18/T18)))</f>
        <v>1.0942748091603054</v>
      </c>
      <c r="W18" s="11">
        <v>20</v>
      </c>
      <c r="X18" s="38">
        <v>29</v>
      </c>
      <c r="Y18" s="38">
        <v>29.5</v>
      </c>
      <c r="Z18" s="4">
        <f>IF(AA18=0,0,IF(X18=0,1,IF(Y18&lt;0,0,Y18/X18)))</f>
        <v>1.0172413793103448</v>
      </c>
      <c r="AA18" s="11">
        <v>15</v>
      </c>
      <c r="AB18" s="50">
        <f>(D18*E18+L18*M18+P18*Q18+R18*S18+V18*W18+Z18*AA18)/(E18+M18+Q18+S18+W18+AA18)</f>
        <v>0.97808226184982161</v>
      </c>
      <c r="AC18" s="50">
        <f>IF(AB18&gt;1.2,IF((AB18-1.2)*0.1+1.2&gt;1.3,1.3,(AB18-1.2)*0.1+1.2),AB18)</f>
        <v>0.97808226184982161</v>
      </c>
      <c r="AD18" s="51">
        <v>23589</v>
      </c>
      <c r="AE18" s="38">
        <f t="shared" ref="AE18:AE44" si="19">AD18/11</f>
        <v>2144.4545454545455</v>
      </c>
      <c r="AF18" s="38">
        <f t="shared" ref="AF18:AF44" si="20">ROUND(AC18*AE18,1)</f>
        <v>2097.5</v>
      </c>
      <c r="AG18" s="38">
        <f t="shared" ref="AG18:AG44" si="21">AF18-AE18</f>
        <v>-46.954545454545496</v>
      </c>
      <c r="AH18" s="38">
        <v>75.900000000000006</v>
      </c>
      <c r="AI18" s="38">
        <f t="shared" ref="AI18:AI44" si="22">AF18+AH18</f>
        <v>2173.4</v>
      </c>
      <c r="AJ18" s="38"/>
      <c r="AK18" s="38">
        <f t="shared" ref="AK18:AK44" si="23">IF((AI18-AJ18)&gt;0,ROUND(AI18-AJ18,1),0)</f>
        <v>2173.4</v>
      </c>
    </row>
    <row r="19" spans="1:37" s="2" customFormat="1" ht="16.95" customHeight="1">
      <c r="A19" s="13" t="s">
        <v>22</v>
      </c>
      <c r="B19" s="38">
        <v>473888</v>
      </c>
      <c r="C19" s="38">
        <v>416591.7</v>
      </c>
      <c r="D19" s="4">
        <f t="shared" si="16"/>
        <v>0.87909316125329195</v>
      </c>
      <c r="E19" s="11">
        <v>10</v>
      </c>
      <c r="F19" s="69" t="s">
        <v>412</v>
      </c>
      <c r="G19" s="69" t="s">
        <v>412</v>
      </c>
      <c r="H19" s="69" t="s">
        <v>412</v>
      </c>
      <c r="I19" s="69" t="s">
        <v>412</v>
      </c>
      <c r="J19" s="73">
        <v>1.2</v>
      </c>
      <c r="K19" s="73">
        <v>1.1000000000000001</v>
      </c>
      <c r="L19" s="4">
        <f t="shared" si="17"/>
        <v>1.0909090909090908</v>
      </c>
      <c r="M19" s="11">
        <v>5</v>
      </c>
      <c r="N19" s="38">
        <v>21330.9</v>
      </c>
      <c r="O19" s="38">
        <v>20658.099999999999</v>
      </c>
      <c r="P19" s="4">
        <f t="shared" si="18"/>
        <v>0.96845890234354848</v>
      </c>
      <c r="Q19" s="11">
        <v>20</v>
      </c>
      <c r="R19" s="11">
        <v>1</v>
      </c>
      <c r="S19" s="11">
        <v>15</v>
      </c>
      <c r="T19" s="38">
        <v>662</v>
      </c>
      <c r="U19" s="38">
        <v>698.8</v>
      </c>
      <c r="V19" s="4">
        <f t="shared" ref="V19:V44" si="24">IF(W19=0,0,IF(T19=0,1,IF(U19&lt;0,0,U19/T19)))</f>
        <v>1.0555891238670694</v>
      </c>
      <c r="W19" s="11">
        <v>20</v>
      </c>
      <c r="X19" s="38">
        <v>56.1</v>
      </c>
      <c r="Y19" s="38">
        <v>58.7</v>
      </c>
      <c r="Z19" s="4">
        <f t="shared" ref="Z19:Z44" si="25">IF(AA19=0,0,IF(X19=0,1,IF(Y19&lt;0,0,Y19/X19)))</f>
        <v>1.0463458110516934</v>
      </c>
      <c r="AA19" s="11">
        <v>10</v>
      </c>
      <c r="AB19" s="50">
        <f t="shared" ref="AB19:AB44" si="26">(D19*E19+L19*M19+P19*Q19+R19*S19+V19*W19+Z19*AA19)/(E19+M19+Q19+S19+W19+AA19)</f>
        <v>1.002373696272596</v>
      </c>
      <c r="AC19" s="50">
        <f t="shared" ref="AC19:AC44" si="27">IF(AB19&gt;1.2,IF((AB19-1.2)*0.1+1.2&gt;1.3,1.3,(AB19-1.2)*0.1+1.2),AB19)</f>
        <v>1.002373696272596</v>
      </c>
      <c r="AD19" s="51">
        <v>36799</v>
      </c>
      <c r="AE19" s="38">
        <f t="shared" si="19"/>
        <v>3345.3636363636365</v>
      </c>
      <c r="AF19" s="38">
        <f t="shared" si="20"/>
        <v>3353.3</v>
      </c>
      <c r="AG19" s="38">
        <f t="shared" si="21"/>
        <v>7.9363636363636942</v>
      </c>
      <c r="AH19" s="38">
        <v>1599.4</v>
      </c>
      <c r="AI19" s="38">
        <f t="shared" si="22"/>
        <v>4952.7000000000007</v>
      </c>
      <c r="AJ19" s="38"/>
      <c r="AK19" s="38">
        <f t="shared" si="23"/>
        <v>4952.7</v>
      </c>
    </row>
    <row r="20" spans="1:37" s="2" customFormat="1" ht="16.95" customHeight="1">
      <c r="A20" s="13" t="s">
        <v>23</v>
      </c>
      <c r="B20" s="38">
        <v>174344</v>
      </c>
      <c r="C20" s="38">
        <v>193252.7</v>
      </c>
      <c r="D20" s="4">
        <f t="shared" si="16"/>
        <v>1.1084562703620429</v>
      </c>
      <c r="E20" s="11">
        <v>10</v>
      </c>
      <c r="F20" s="69" t="s">
        <v>412</v>
      </c>
      <c r="G20" s="69" t="s">
        <v>412</v>
      </c>
      <c r="H20" s="69" t="s">
        <v>412</v>
      </c>
      <c r="I20" s="69" t="s">
        <v>412</v>
      </c>
      <c r="J20" s="73">
        <v>2.2000000000000002</v>
      </c>
      <c r="K20" s="73">
        <v>1.9</v>
      </c>
      <c r="L20" s="4">
        <f t="shared" si="17"/>
        <v>1.1578947368421053</v>
      </c>
      <c r="M20" s="11">
        <v>10</v>
      </c>
      <c r="N20" s="38">
        <v>10046.6</v>
      </c>
      <c r="O20" s="38">
        <v>7269.8</v>
      </c>
      <c r="P20" s="4">
        <f t="shared" si="18"/>
        <v>0.72360798678159777</v>
      </c>
      <c r="Q20" s="11">
        <v>20</v>
      </c>
      <c r="R20" s="11">
        <v>1</v>
      </c>
      <c r="S20" s="11">
        <v>15</v>
      </c>
      <c r="T20" s="38">
        <v>663</v>
      </c>
      <c r="U20" s="38">
        <v>849.5</v>
      </c>
      <c r="V20" s="4">
        <f t="shared" si="24"/>
        <v>1.2812971342383108</v>
      </c>
      <c r="W20" s="11">
        <v>20</v>
      </c>
      <c r="X20" s="38">
        <v>28.4</v>
      </c>
      <c r="Y20" s="38">
        <v>167.4</v>
      </c>
      <c r="Z20" s="4">
        <f t="shared" si="25"/>
        <v>5.894366197183099</v>
      </c>
      <c r="AA20" s="11">
        <v>20</v>
      </c>
      <c r="AB20" s="50">
        <f t="shared" si="26"/>
        <v>2.0594624888010697</v>
      </c>
      <c r="AC20" s="50">
        <f t="shared" si="27"/>
        <v>1.285946248880107</v>
      </c>
      <c r="AD20" s="51">
        <v>34704</v>
      </c>
      <c r="AE20" s="38">
        <f t="shared" si="19"/>
        <v>3154.909090909091</v>
      </c>
      <c r="AF20" s="38">
        <f t="shared" si="20"/>
        <v>4057</v>
      </c>
      <c r="AG20" s="38">
        <f t="shared" si="21"/>
        <v>902.09090909090901</v>
      </c>
      <c r="AH20" s="38">
        <v>411.6</v>
      </c>
      <c r="AI20" s="38">
        <f t="shared" si="22"/>
        <v>4468.6000000000004</v>
      </c>
      <c r="AJ20" s="38"/>
      <c r="AK20" s="38">
        <f t="shared" si="23"/>
        <v>4468.6000000000004</v>
      </c>
    </row>
    <row r="21" spans="1:37" s="2" customFormat="1" ht="16.95" customHeight="1">
      <c r="A21" s="13" t="s">
        <v>24</v>
      </c>
      <c r="B21" s="38">
        <v>12675</v>
      </c>
      <c r="C21" s="38">
        <v>12213.5</v>
      </c>
      <c r="D21" s="4">
        <f t="shared" si="16"/>
        <v>0.96358974358974359</v>
      </c>
      <c r="E21" s="11">
        <v>10</v>
      </c>
      <c r="F21" s="69" t="s">
        <v>412</v>
      </c>
      <c r="G21" s="69" t="s">
        <v>412</v>
      </c>
      <c r="H21" s="69" t="s">
        <v>412</v>
      </c>
      <c r="I21" s="69" t="s">
        <v>412</v>
      </c>
      <c r="J21" s="73">
        <v>1.9</v>
      </c>
      <c r="K21" s="73">
        <v>1.9</v>
      </c>
      <c r="L21" s="4">
        <f t="shared" si="17"/>
        <v>1</v>
      </c>
      <c r="M21" s="11">
        <v>10</v>
      </c>
      <c r="N21" s="38">
        <v>15529.2</v>
      </c>
      <c r="O21" s="38">
        <v>11421.6</v>
      </c>
      <c r="P21" s="4">
        <f t="shared" si="18"/>
        <v>0.73549184761610387</v>
      </c>
      <c r="Q21" s="11">
        <v>20</v>
      </c>
      <c r="R21" s="11">
        <v>1</v>
      </c>
      <c r="S21" s="11">
        <v>15</v>
      </c>
      <c r="T21" s="38">
        <v>414</v>
      </c>
      <c r="U21" s="38">
        <v>374.4</v>
      </c>
      <c r="V21" s="4">
        <f t="shared" si="24"/>
        <v>0.90434782608695652</v>
      </c>
      <c r="W21" s="11">
        <v>10</v>
      </c>
      <c r="X21" s="38">
        <v>73</v>
      </c>
      <c r="Y21" s="38">
        <v>69.5</v>
      </c>
      <c r="Z21" s="4">
        <f t="shared" si="25"/>
        <v>0.95205479452054798</v>
      </c>
      <c r="AA21" s="11">
        <v>15</v>
      </c>
      <c r="AB21" s="50">
        <f t="shared" si="26"/>
        <v>0.90837543208621629</v>
      </c>
      <c r="AC21" s="50">
        <f t="shared" si="27"/>
        <v>0.90837543208621629</v>
      </c>
      <c r="AD21" s="51">
        <v>28515</v>
      </c>
      <c r="AE21" s="38">
        <f t="shared" si="19"/>
        <v>2592.2727272727275</v>
      </c>
      <c r="AF21" s="38">
        <f t="shared" si="20"/>
        <v>2354.8000000000002</v>
      </c>
      <c r="AG21" s="38">
        <f>AF21-AE21</f>
        <v>-237.4727272727273</v>
      </c>
      <c r="AH21" s="38">
        <v>-222.9</v>
      </c>
      <c r="AI21" s="38">
        <f t="shared" si="22"/>
        <v>2131.9</v>
      </c>
      <c r="AJ21" s="38"/>
      <c r="AK21" s="38">
        <f t="shared" si="23"/>
        <v>2131.9</v>
      </c>
    </row>
    <row r="22" spans="1:37" s="2" customFormat="1" ht="16.95" customHeight="1">
      <c r="A22" s="13" t="s">
        <v>25</v>
      </c>
      <c r="B22" s="38">
        <v>15963</v>
      </c>
      <c r="C22" s="38">
        <v>15649</v>
      </c>
      <c r="D22" s="4">
        <f t="shared" si="16"/>
        <v>0.98032951199649188</v>
      </c>
      <c r="E22" s="11">
        <v>10</v>
      </c>
      <c r="F22" s="69" t="s">
        <v>412</v>
      </c>
      <c r="G22" s="69" t="s">
        <v>412</v>
      </c>
      <c r="H22" s="69" t="s">
        <v>412</v>
      </c>
      <c r="I22" s="69" t="s">
        <v>412</v>
      </c>
      <c r="J22" s="73">
        <v>1.9</v>
      </c>
      <c r="K22" s="73">
        <v>1.9</v>
      </c>
      <c r="L22" s="4">
        <f t="shared" si="17"/>
        <v>1</v>
      </c>
      <c r="M22" s="11">
        <v>10</v>
      </c>
      <c r="N22" s="38">
        <v>10693.5</v>
      </c>
      <c r="O22" s="38">
        <v>14493.9</v>
      </c>
      <c r="P22" s="4">
        <f t="shared" si="18"/>
        <v>1.3553934633188385</v>
      </c>
      <c r="Q22" s="11">
        <v>20</v>
      </c>
      <c r="R22" s="11">
        <v>1</v>
      </c>
      <c r="S22" s="11">
        <v>15</v>
      </c>
      <c r="T22" s="38">
        <v>855.4</v>
      </c>
      <c r="U22" s="38">
        <v>991.5</v>
      </c>
      <c r="V22" s="4">
        <f t="shared" si="24"/>
        <v>1.1591068505962123</v>
      </c>
      <c r="W22" s="11">
        <v>15</v>
      </c>
      <c r="X22" s="38">
        <v>73</v>
      </c>
      <c r="Y22" s="38">
        <v>86.9</v>
      </c>
      <c r="Z22" s="4">
        <f t="shared" si="25"/>
        <v>1.1904109589041096</v>
      </c>
      <c r="AA22" s="11">
        <v>15</v>
      </c>
      <c r="AB22" s="50">
        <f t="shared" si="26"/>
        <v>1.1429874297511355</v>
      </c>
      <c r="AC22" s="50">
        <f t="shared" si="27"/>
        <v>1.1429874297511355</v>
      </c>
      <c r="AD22" s="51">
        <v>47008</v>
      </c>
      <c r="AE22" s="38">
        <f t="shared" si="19"/>
        <v>4273.454545454545</v>
      </c>
      <c r="AF22" s="38">
        <f t="shared" si="20"/>
        <v>4884.5</v>
      </c>
      <c r="AG22" s="38">
        <f t="shared" si="21"/>
        <v>611.04545454545496</v>
      </c>
      <c r="AH22" s="38">
        <v>1657.2</v>
      </c>
      <c r="AI22" s="38">
        <f t="shared" si="22"/>
        <v>6541.7</v>
      </c>
      <c r="AJ22" s="38"/>
      <c r="AK22" s="38">
        <f t="shared" si="23"/>
        <v>6541.7</v>
      </c>
    </row>
    <row r="23" spans="1:37" s="2" customFormat="1" ht="16.95" customHeight="1">
      <c r="A23" s="13" t="s">
        <v>26</v>
      </c>
      <c r="B23" s="38">
        <v>20910</v>
      </c>
      <c r="C23" s="38">
        <v>17806.5</v>
      </c>
      <c r="D23" s="4">
        <f t="shared" si="16"/>
        <v>0.85157819225251075</v>
      </c>
      <c r="E23" s="11">
        <v>10</v>
      </c>
      <c r="F23" s="69" t="s">
        <v>412</v>
      </c>
      <c r="G23" s="69" t="s">
        <v>412</v>
      </c>
      <c r="H23" s="69" t="s">
        <v>412</v>
      </c>
      <c r="I23" s="69" t="s">
        <v>412</v>
      </c>
      <c r="J23" s="73">
        <v>2.4</v>
      </c>
      <c r="K23" s="73">
        <v>2.1</v>
      </c>
      <c r="L23" s="4">
        <f t="shared" si="17"/>
        <v>1.1428571428571428</v>
      </c>
      <c r="M23" s="11">
        <v>15</v>
      </c>
      <c r="N23" s="38">
        <v>8967.4</v>
      </c>
      <c r="O23" s="38">
        <v>8468.1</v>
      </c>
      <c r="P23" s="4">
        <f t="shared" si="18"/>
        <v>0.94432053884068967</v>
      </c>
      <c r="Q23" s="11">
        <v>20</v>
      </c>
      <c r="R23" s="11">
        <v>1</v>
      </c>
      <c r="S23" s="11">
        <v>15</v>
      </c>
      <c r="T23" s="38">
        <v>390</v>
      </c>
      <c r="U23" s="38">
        <v>424.9</v>
      </c>
      <c r="V23" s="4">
        <f t="shared" si="24"/>
        <v>1.0894871794871794</v>
      </c>
      <c r="W23" s="11">
        <v>15</v>
      </c>
      <c r="X23" s="38">
        <v>25.2</v>
      </c>
      <c r="Y23" s="38">
        <v>28</v>
      </c>
      <c r="Z23" s="4">
        <f t="shared" si="25"/>
        <v>1.1111111111111112</v>
      </c>
      <c r="AA23" s="11">
        <v>15</v>
      </c>
      <c r="AB23" s="50">
        <f t="shared" si="26"/>
        <v>1.0283780466796713</v>
      </c>
      <c r="AC23" s="50">
        <f t="shared" si="27"/>
        <v>1.0283780466796713</v>
      </c>
      <c r="AD23" s="51">
        <v>46400</v>
      </c>
      <c r="AE23" s="38">
        <f t="shared" si="19"/>
        <v>4218.181818181818</v>
      </c>
      <c r="AF23" s="38">
        <f t="shared" si="20"/>
        <v>4337.8999999999996</v>
      </c>
      <c r="AG23" s="38">
        <f t="shared" si="21"/>
        <v>119.71818181818162</v>
      </c>
      <c r="AH23" s="38">
        <v>3065.4</v>
      </c>
      <c r="AI23" s="38">
        <f t="shared" si="22"/>
        <v>7403.2999999999993</v>
      </c>
      <c r="AJ23" s="38"/>
      <c r="AK23" s="38">
        <f t="shared" si="23"/>
        <v>7403.3</v>
      </c>
    </row>
    <row r="24" spans="1:37" s="2" customFormat="1" ht="16.95" customHeight="1">
      <c r="A24" s="13" t="s">
        <v>27</v>
      </c>
      <c r="B24" s="38">
        <v>1026805</v>
      </c>
      <c r="C24" s="38">
        <v>1002208.3</v>
      </c>
      <c r="D24" s="4">
        <f t="shared" si="16"/>
        <v>0.97604540297330067</v>
      </c>
      <c r="E24" s="11">
        <v>10</v>
      </c>
      <c r="F24" s="69" t="s">
        <v>412</v>
      </c>
      <c r="G24" s="69" t="s">
        <v>412</v>
      </c>
      <c r="H24" s="69" t="s">
        <v>412</v>
      </c>
      <c r="I24" s="69" t="s">
        <v>412</v>
      </c>
      <c r="J24" s="73">
        <v>0.3</v>
      </c>
      <c r="K24" s="73">
        <v>0.3</v>
      </c>
      <c r="L24" s="4">
        <f t="shared" si="17"/>
        <v>1</v>
      </c>
      <c r="M24" s="11">
        <v>5</v>
      </c>
      <c r="N24" s="38">
        <v>37775.5</v>
      </c>
      <c r="O24" s="38">
        <v>83790.3</v>
      </c>
      <c r="P24" s="4">
        <f t="shared" si="18"/>
        <v>2.2181122685338384</v>
      </c>
      <c r="Q24" s="11">
        <v>20</v>
      </c>
      <c r="R24" s="11">
        <v>1</v>
      </c>
      <c r="S24" s="11">
        <v>15</v>
      </c>
      <c r="T24" s="38">
        <v>512.5</v>
      </c>
      <c r="U24" s="38">
        <v>535.5</v>
      </c>
      <c r="V24" s="4">
        <f t="shared" si="24"/>
        <v>1.0448780487804878</v>
      </c>
      <c r="W24" s="11">
        <v>15</v>
      </c>
      <c r="X24" s="38">
        <v>215.7</v>
      </c>
      <c r="Y24" s="38">
        <v>237</v>
      </c>
      <c r="Z24" s="4">
        <f t="shared" si="25"/>
        <v>1.0987482614742698</v>
      </c>
      <c r="AA24" s="11">
        <v>20</v>
      </c>
      <c r="AB24" s="50">
        <f t="shared" si="26"/>
        <v>1.3149510042541468</v>
      </c>
      <c r="AC24" s="50">
        <f t="shared" si="27"/>
        <v>1.2114951004254146</v>
      </c>
      <c r="AD24" s="51">
        <v>40827</v>
      </c>
      <c r="AE24" s="38">
        <f t="shared" si="19"/>
        <v>3711.5454545454545</v>
      </c>
      <c r="AF24" s="38">
        <f t="shared" si="20"/>
        <v>4496.5</v>
      </c>
      <c r="AG24" s="38">
        <f t="shared" si="21"/>
        <v>784.9545454545455</v>
      </c>
      <c r="AH24" s="38">
        <v>2997.8</v>
      </c>
      <c r="AI24" s="38">
        <f t="shared" si="22"/>
        <v>7494.3</v>
      </c>
      <c r="AJ24" s="38"/>
      <c r="AK24" s="38">
        <f t="shared" si="23"/>
        <v>7494.3</v>
      </c>
    </row>
    <row r="25" spans="1:37" s="2" customFormat="1" ht="16.95" customHeight="1">
      <c r="A25" s="13" t="s">
        <v>28</v>
      </c>
      <c r="B25" s="38">
        <v>7564</v>
      </c>
      <c r="C25" s="38">
        <v>6529.5</v>
      </c>
      <c r="D25" s="4">
        <f t="shared" si="16"/>
        <v>0.86323373876255949</v>
      </c>
      <c r="E25" s="11">
        <v>10</v>
      </c>
      <c r="F25" s="69" t="s">
        <v>412</v>
      </c>
      <c r="G25" s="69" t="s">
        <v>412</v>
      </c>
      <c r="H25" s="69" t="s">
        <v>412</v>
      </c>
      <c r="I25" s="69" t="s">
        <v>412</v>
      </c>
      <c r="J25" s="73">
        <v>1.2</v>
      </c>
      <c r="K25" s="73">
        <v>1.1000000000000001</v>
      </c>
      <c r="L25" s="4">
        <f t="shared" si="17"/>
        <v>1.0909090909090908</v>
      </c>
      <c r="M25" s="11">
        <v>10</v>
      </c>
      <c r="N25" s="38">
        <v>4980.5</v>
      </c>
      <c r="O25" s="38">
        <v>3517.8</v>
      </c>
      <c r="P25" s="4">
        <f t="shared" si="18"/>
        <v>0.70631462704547743</v>
      </c>
      <c r="Q25" s="11">
        <v>20</v>
      </c>
      <c r="R25" s="11">
        <v>1</v>
      </c>
      <c r="S25" s="11">
        <v>15</v>
      </c>
      <c r="T25" s="38">
        <v>154.30000000000001</v>
      </c>
      <c r="U25" s="38">
        <v>179.1</v>
      </c>
      <c r="V25" s="4">
        <f t="shared" si="24"/>
        <v>1.1607258587167855</v>
      </c>
      <c r="W25" s="11">
        <v>15</v>
      </c>
      <c r="X25" s="38">
        <v>13.4</v>
      </c>
      <c r="Y25" s="38">
        <v>18.100000000000001</v>
      </c>
      <c r="Z25" s="4">
        <f t="shared" si="25"/>
        <v>1.3507462686567164</v>
      </c>
      <c r="AA25" s="11">
        <v>10</v>
      </c>
      <c r="AB25" s="50">
        <f t="shared" si="26"/>
        <v>0.99482589256181253</v>
      </c>
      <c r="AC25" s="50">
        <f t="shared" si="27"/>
        <v>0.99482589256181253</v>
      </c>
      <c r="AD25" s="51">
        <v>13763</v>
      </c>
      <c r="AE25" s="38">
        <f t="shared" si="19"/>
        <v>1251.1818181818182</v>
      </c>
      <c r="AF25" s="38">
        <f t="shared" si="20"/>
        <v>1244.7</v>
      </c>
      <c r="AG25" s="38">
        <f t="shared" si="21"/>
        <v>-6.4818181818181984</v>
      </c>
      <c r="AH25" s="38">
        <v>967.2</v>
      </c>
      <c r="AI25" s="38">
        <f t="shared" si="22"/>
        <v>2211.9</v>
      </c>
      <c r="AJ25" s="38"/>
      <c r="AK25" s="38">
        <f t="shared" si="23"/>
        <v>2211.9</v>
      </c>
    </row>
    <row r="26" spans="1:37" s="2" customFormat="1" ht="16.95" customHeight="1">
      <c r="A26" s="13" t="s">
        <v>29</v>
      </c>
      <c r="B26" s="38">
        <v>5200</v>
      </c>
      <c r="C26" s="38">
        <v>5837.3</v>
      </c>
      <c r="D26" s="4">
        <f t="shared" si="16"/>
        <v>1.1225576923076923</v>
      </c>
      <c r="E26" s="11">
        <v>10</v>
      </c>
      <c r="F26" s="69" t="s">
        <v>412</v>
      </c>
      <c r="G26" s="69" t="s">
        <v>412</v>
      </c>
      <c r="H26" s="69" t="s">
        <v>412</v>
      </c>
      <c r="I26" s="69" t="s">
        <v>412</v>
      </c>
      <c r="J26" s="73">
        <v>2.2999999999999998</v>
      </c>
      <c r="K26" s="73">
        <v>2.2000000000000002</v>
      </c>
      <c r="L26" s="4">
        <f t="shared" si="17"/>
        <v>1.0454545454545452</v>
      </c>
      <c r="M26" s="11">
        <v>15</v>
      </c>
      <c r="N26" s="38">
        <v>7927.5</v>
      </c>
      <c r="O26" s="38">
        <v>8282.6</v>
      </c>
      <c r="P26" s="4">
        <f t="shared" si="18"/>
        <v>1.0447934405550301</v>
      </c>
      <c r="Q26" s="11">
        <v>20</v>
      </c>
      <c r="R26" s="11">
        <v>1</v>
      </c>
      <c r="S26" s="11">
        <v>15</v>
      </c>
      <c r="T26" s="38">
        <v>1395</v>
      </c>
      <c r="U26" s="38">
        <v>1434.3</v>
      </c>
      <c r="V26" s="4">
        <f t="shared" si="24"/>
        <v>1.0281720430107526</v>
      </c>
      <c r="W26" s="11">
        <v>20</v>
      </c>
      <c r="X26" s="38">
        <v>59</v>
      </c>
      <c r="Y26" s="38">
        <v>60</v>
      </c>
      <c r="Z26" s="4">
        <f t="shared" si="25"/>
        <v>1.0169491525423728</v>
      </c>
      <c r="AA26" s="11">
        <v>10</v>
      </c>
      <c r="AB26" s="50">
        <f t="shared" si="26"/>
        <v>1.0392910700181608</v>
      </c>
      <c r="AC26" s="50">
        <f t="shared" si="27"/>
        <v>1.0392910700181608</v>
      </c>
      <c r="AD26" s="51">
        <v>43261</v>
      </c>
      <c r="AE26" s="38">
        <f t="shared" si="19"/>
        <v>3932.818181818182</v>
      </c>
      <c r="AF26" s="38">
        <f t="shared" si="20"/>
        <v>4087.3</v>
      </c>
      <c r="AG26" s="38">
        <f t="shared" si="21"/>
        <v>154.4818181818182</v>
      </c>
      <c r="AH26" s="38">
        <v>4774.8</v>
      </c>
      <c r="AI26" s="38">
        <f t="shared" si="22"/>
        <v>8862.1</v>
      </c>
      <c r="AJ26" s="38"/>
      <c r="AK26" s="38">
        <f t="shared" si="23"/>
        <v>8862.1</v>
      </c>
    </row>
    <row r="27" spans="1:37" s="2" customFormat="1" ht="16.95" customHeight="1">
      <c r="A27" s="13" t="s">
        <v>30</v>
      </c>
      <c r="B27" s="38">
        <v>1326</v>
      </c>
      <c r="C27" s="38">
        <v>1171</v>
      </c>
      <c r="D27" s="4">
        <f t="shared" si="16"/>
        <v>0.8831070889894419</v>
      </c>
      <c r="E27" s="11">
        <v>10</v>
      </c>
      <c r="F27" s="69" t="s">
        <v>412</v>
      </c>
      <c r="G27" s="69" t="s">
        <v>412</v>
      </c>
      <c r="H27" s="69" t="s">
        <v>412</v>
      </c>
      <c r="I27" s="69" t="s">
        <v>412</v>
      </c>
      <c r="J27" s="73">
        <v>2.5</v>
      </c>
      <c r="K27" s="73">
        <v>2.4</v>
      </c>
      <c r="L27" s="4">
        <f t="shared" si="17"/>
        <v>1.0416666666666667</v>
      </c>
      <c r="M27" s="11">
        <v>15</v>
      </c>
      <c r="N27" s="38">
        <v>6317.1</v>
      </c>
      <c r="O27" s="38">
        <v>6643.7</v>
      </c>
      <c r="P27" s="4">
        <f t="shared" si="18"/>
        <v>1.0517009387218819</v>
      </c>
      <c r="Q27" s="11">
        <v>20</v>
      </c>
      <c r="R27" s="11">
        <v>1</v>
      </c>
      <c r="S27" s="11">
        <v>15</v>
      </c>
      <c r="T27" s="38">
        <v>97</v>
      </c>
      <c r="U27" s="38">
        <v>108.2</v>
      </c>
      <c r="V27" s="4">
        <f t="shared" si="24"/>
        <v>1.1154639175257732</v>
      </c>
      <c r="W27" s="11">
        <v>20</v>
      </c>
      <c r="X27" s="38">
        <v>4.4000000000000004</v>
      </c>
      <c r="Y27" s="38">
        <v>6.6</v>
      </c>
      <c r="Z27" s="4">
        <f t="shared" si="25"/>
        <v>1.4999999999999998</v>
      </c>
      <c r="AA27" s="11">
        <v>20</v>
      </c>
      <c r="AB27" s="50">
        <f t="shared" si="26"/>
        <v>1.1279936801484751</v>
      </c>
      <c r="AC27" s="50">
        <f t="shared" si="27"/>
        <v>1.1279936801484751</v>
      </c>
      <c r="AD27" s="51">
        <v>11325</v>
      </c>
      <c r="AE27" s="38">
        <f t="shared" si="19"/>
        <v>1029.5454545454545</v>
      </c>
      <c r="AF27" s="38">
        <f t="shared" si="20"/>
        <v>1161.3</v>
      </c>
      <c r="AG27" s="38">
        <f t="shared" si="21"/>
        <v>131.75454545454545</v>
      </c>
      <c r="AH27" s="38">
        <v>1320.4</v>
      </c>
      <c r="AI27" s="38">
        <f t="shared" si="22"/>
        <v>2481.6999999999998</v>
      </c>
      <c r="AJ27" s="38"/>
      <c r="AK27" s="38">
        <f t="shared" si="23"/>
        <v>2481.6999999999998</v>
      </c>
    </row>
    <row r="28" spans="1:37" s="2" customFormat="1" ht="16.95" customHeight="1">
      <c r="A28" s="13" t="s">
        <v>31</v>
      </c>
      <c r="B28" s="38">
        <v>1569247</v>
      </c>
      <c r="C28" s="38">
        <v>605489.1</v>
      </c>
      <c r="D28" s="4">
        <f t="shared" si="16"/>
        <v>0.3858469061913134</v>
      </c>
      <c r="E28" s="11">
        <v>10</v>
      </c>
      <c r="F28" s="69" t="s">
        <v>412</v>
      </c>
      <c r="G28" s="69" t="s">
        <v>412</v>
      </c>
      <c r="H28" s="69" t="s">
        <v>412</v>
      </c>
      <c r="I28" s="69" t="s">
        <v>412</v>
      </c>
      <c r="J28" s="73">
        <v>0.9</v>
      </c>
      <c r="K28" s="73">
        <v>0.9</v>
      </c>
      <c r="L28" s="4">
        <f t="shared" si="17"/>
        <v>1</v>
      </c>
      <c r="M28" s="11">
        <v>10</v>
      </c>
      <c r="N28" s="38">
        <v>82818.8</v>
      </c>
      <c r="O28" s="38">
        <v>336129.7</v>
      </c>
      <c r="P28" s="4">
        <f t="shared" si="18"/>
        <v>4.05861591812487</v>
      </c>
      <c r="Q28" s="11">
        <v>20</v>
      </c>
      <c r="R28" s="11">
        <v>1</v>
      </c>
      <c r="S28" s="11">
        <v>15</v>
      </c>
      <c r="T28" s="38">
        <v>505.5</v>
      </c>
      <c r="U28" s="38">
        <v>587.4</v>
      </c>
      <c r="V28" s="4">
        <f t="shared" si="24"/>
        <v>1.1620178041543026</v>
      </c>
      <c r="W28" s="11">
        <v>20</v>
      </c>
      <c r="X28" s="38">
        <v>308.89999999999998</v>
      </c>
      <c r="Y28" s="38">
        <v>356.6</v>
      </c>
      <c r="Z28" s="4">
        <f t="shared" si="25"/>
        <v>1.1544189057947558</v>
      </c>
      <c r="AA28" s="11">
        <v>15</v>
      </c>
      <c r="AB28" s="50">
        <f t="shared" si="26"/>
        <v>1.6731936343824214</v>
      </c>
      <c r="AC28" s="50">
        <f t="shared" si="27"/>
        <v>1.247319363438242</v>
      </c>
      <c r="AD28" s="51">
        <v>50255</v>
      </c>
      <c r="AE28" s="38">
        <f t="shared" si="19"/>
        <v>4568.636363636364</v>
      </c>
      <c r="AF28" s="38">
        <f t="shared" si="20"/>
        <v>5698.5</v>
      </c>
      <c r="AG28" s="38">
        <f t="shared" si="21"/>
        <v>1129.863636363636</v>
      </c>
      <c r="AH28" s="38">
        <v>158.5</v>
      </c>
      <c r="AI28" s="38">
        <f t="shared" si="22"/>
        <v>5857</v>
      </c>
      <c r="AJ28" s="38"/>
      <c r="AK28" s="38">
        <f t="shared" si="23"/>
        <v>5857</v>
      </c>
    </row>
    <row r="29" spans="1:37" s="2" customFormat="1" ht="16.95" customHeight="1">
      <c r="A29" s="13" t="s">
        <v>32</v>
      </c>
      <c r="B29" s="38">
        <v>257658</v>
      </c>
      <c r="C29" s="38">
        <v>242352.1</v>
      </c>
      <c r="D29" s="4">
        <f t="shared" si="16"/>
        <v>0.94059606144579255</v>
      </c>
      <c r="E29" s="11">
        <v>10</v>
      </c>
      <c r="F29" s="69" t="s">
        <v>412</v>
      </c>
      <c r="G29" s="69" t="s">
        <v>412</v>
      </c>
      <c r="H29" s="69" t="s">
        <v>412</v>
      </c>
      <c r="I29" s="69" t="s">
        <v>412</v>
      </c>
      <c r="J29" s="73">
        <v>1.1000000000000001</v>
      </c>
      <c r="K29" s="73">
        <v>1</v>
      </c>
      <c r="L29" s="4">
        <f t="shared" si="17"/>
        <v>1.1000000000000001</v>
      </c>
      <c r="M29" s="11">
        <v>5</v>
      </c>
      <c r="N29" s="38">
        <v>24114.2</v>
      </c>
      <c r="O29" s="38">
        <v>22672.2</v>
      </c>
      <c r="P29" s="4">
        <f t="shared" si="18"/>
        <v>0.94020120924600448</v>
      </c>
      <c r="Q29" s="11">
        <v>20</v>
      </c>
      <c r="R29" s="11">
        <v>1</v>
      </c>
      <c r="S29" s="11">
        <v>15</v>
      </c>
      <c r="T29" s="38">
        <v>452</v>
      </c>
      <c r="U29" s="38">
        <v>458.8</v>
      </c>
      <c r="V29" s="4">
        <f t="shared" si="24"/>
        <v>1.0150442477876107</v>
      </c>
      <c r="W29" s="11">
        <v>15</v>
      </c>
      <c r="X29" s="38">
        <v>2055</v>
      </c>
      <c r="Y29" s="38">
        <v>1605.7</v>
      </c>
      <c r="Z29" s="4">
        <f t="shared" si="25"/>
        <v>0.78136253041362536</v>
      </c>
      <c r="AA29" s="11">
        <v>25</v>
      </c>
      <c r="AB29" s="50">
        <f t="shared" si="26"/>
        <v>0.92744124196147559</v>
      </c>
      <c r="AC29" s="50">
        <f t="shared" si="27"/>
        <v>0.92744124196147559</v>
      </c>
      <c r="AD29" s="51">
        <v>104317</v>
      </c>
      <c r="AE29" s="38">
        <f t="shared" si="19"/>
        <v>9483.363636363636</v>
      </c>
      <c r="AF29" s="38">
        <f t="shared" si="20"/>
        <v>8795.2999999999993</v>
      </c>
      <c r="AG29" s="38">
        <f t="shared" si="21"/>
        <v>-688.06363636363676</v>
      </c>
      <c r="AH29" s="38">
        <v>7762.9</v>
      </c>
      <c r="AI29" s="38">
        <f t="shared" si="22"/>
        <v>16558.199999999997</v>
      </c>
      <c r="AJ29" s="38"/>
      <c r="AK29" s="38">
        <f t="shared" si="23"/>
        <v>16558.2</v>
      </c>
    </row>
    <row r="30" spans="1:37" s="2" customFormat="1" ht="16.95" customHeight="1">
      <c r="A30" s="13" t="s">
        <v>33</v>
      </c>
      <c r="B30" s="38">
        <v>23152</v>
      </c>
      <c r="C30" s="38">
        <v>24175.9</v>
      </c>
      <c r="D30" s="4">
        <f t="shared" si="16"/>
        <v>1.0442251209398756</v>
      </c>
      <c r="E30" s="11">
        <v>10</v>
      </c>
      <c r="F30" s="69" t="s">
        <v>412</v>
      </c>
      <c r="G30" s="69" t="s">
        <v>412</v>
      </c>
      <c r="H30" s="69" t="s">
        <v>412</v>
      </c>
      <c r="I30" s="69" t="s">
        <v>412</v>
      </c>
      <c r="J30" s="73">
        <v>1.6</v>
      </c>
      <c r="K30" s="73">
        <v>1.6</v>
      </c>
      <c r="L30" s="4">
        <f t="shared" si="17"/>
        <v>1</v>
      </c>
      <c r="M30" s="11">
        <v>10</v>
      </c>
      <c r="N30" s="38">
        <v>7854.2</v>
      </c>
      <c r="O30" s="38">
        <v>9081.7999999999993</v>
      </c>
      <c r="P30" s="4">
        <f t="shared" si="18"/>
        <v>1.1562985409080491</v>
      </c>
      <c r="Q30" s="11">
        <v>20</v>
      </c>
      <c r="R30" s="11">
        <v>1</v>
      </c>
      <c r="S30" s="11">
        <v>15</v>
      </c>
      <c r="T30" s="38">
        <v>294.8</v>
      </c>
      <c r="U30" s="38">
        <v>285.8</v>
      </c>
      <c r="V30" s="4">
        <f t="shared" si="24"/>
        <v>0.96947082767978288</v>
      </c>
      <c r="W30" s="11">
        <v>15</v>
      </c>
      <c r="X30" s="38">
        <v>5</v>
      </c>
      <c r="Y30" s="38">
        <v>5.2</v>
      </c>
      <c r="Z30" s="4">
        <f t="shared" si="25"/>
        <v>1.04</v>
      </c>
      <c r="AA30" s="11">
        <v>25</v>
      </c>
      <c r="AB30" s="50">
        <f t="shared" si="26"/>
        <v>1.0432661520290156</v>
      </c>
      <c r="AC30" s="50">
        <f t="shared" si="27"/>
        <v>1.0432661520290156</v>
      </c>
      <c r="AD30" s="51">
        <v>19756</v>
      </c>
      <c r="AE30" s="38">
        <f t="shared" si="19"/>
        <v>1796</v>
      </c>
      <c r="AF30" s="38">
        <f t="shared" si="20"/>
        <v>1873.7</v>
      </c>
      <c r="AG30" s="38">
        <f t="shared" si="21"/>
        <v>77.700000000000045</v>
      </c>
      <c r="AH30" s="38">
        <v>-76.7</v>
      </c>
      <c r="AI30" s="38">
        <f t="shared" si="22"/>
        <v>1797</v>
      </c>
      <c r="AJ30" s="38"/>
      <c r="AK30" s="38">
        <f t="shared" si="23"/>
        <v>1797</v>
      </c>
    </row>
    <row r="31" spans="1:37" s="2" customFormat="1" ht="16.95" customHeight="1">
      <c r="A31" s="13" t="s">
        <v>34</v>
      </c>
      <c r="B31" s="38">
        <v>105831</v>
      </c>
      <c r="C31" s="38">
        <v>126216</v>
      </c>
      <c r="D31" s="4">
        <f t="shared" si="16"/>
        <v>1.1926184199336678</v>
      </c>
      <c r="E31" s="11">
        <v>10</v>
      </c>
      <c r="F31" s="69" t="s">
        <v>412</v>
      </c>
      <c r="G31" s="69" t="s">
        <v>412</v>
      </c>
      <c r="H31" s="69" t="s">
        <v>412</v>
      </c>
      <c r="I31" s="69" t="s">
        <v>412</v>
      </c>
      <c r="J31" s="73">
        <v>1.5</v>
      </c>
      <c r="K31" s="73">
        <v>1.3</v>
      </c>
      <c r="L31" s="4">
        <f t="shared" si="17"/>
        <v>1.1538461538461537</v>
      </c>
      <c r="M31" s="11">
        <v>10</v>
      </c>
      <c r="N31" s="38">
        <v>12444.8</v>
      </c>
      <c r="O31" s="38">
        <v>18934.8</v>
      </c>
      <c r="P31" s="4">
        <f t="shared" si="18"/>
        <v>1.5215029570583698</v>
      </c>
      <c r="Q31" s="11">
        <v>20</v>
      </c>
      <c r="R31" s="11">
        <v>1</v>
      </c>
      <c r="S31" s="11">
        <v>15</v>
      </c>
      <c r="T31" s="38">
        <v>1580</v>
      </c>
      <c r="U31" s="38">
        <v>2053.1</v>
      </c>
      <c r="V31" s="4">
        <f t="shared" si="24"/>
        <v>1.2994303797468354</v>
      </c>
      <c r="W31" s="11">
        <v>15</v>
      </c>
      <c r="X31" s="38">
        <v>49</v>
      </c>
      <c r="Y31" s="38">
        <v>58.5</v>
      </c>
      <c r="Z31" s="4">
        <f t="shared" si="25"/>
        <v>1.1938775510204083</v>
      </c>
      <c r="AA31" s="11">
        <v>15</v>
      </c>
      <c r="AB31" s="50">
        <f t="shared" si="26"/>
        <v>1.2505214569467562</v>
      </c>
      <c r="AC31" s="50">
        <f t="shared" si="27"/>
        <v>1.2050521456946757</v>
      </c>
      <c r="AD31" s="51">
        <v>42797</v>
      </c>
      <c r="AE31" s="38">
        <f t="shared" si="19"/>
        <v>3890.6363636363635</v>
      </c>
      <c r="AF31" s="38">
        <f t="shared" si="20"/>
        <v>4688.3999999999996</v>
      </c>
      <c r="AG31" s="38">
        <f t="shared" si="21"/>
        <v>797.76363636363612</v>
      </c>
      <c r="AH31" s="38">
        <v>768.1</v>
      </c>
      <c r="AI31" s="38">
        <f t="shared" si="22"/>
        <v>5456.5</v>
      </c>
      <c r="AJ31" s="38"/>
      <c r="AK31" s="38">
        <f t="shared" si="23"/>
        <v>5456.5</v>
      </c>
    </row>
    <row r="32" spans="1:37" s="2" customFormat="1" ht="16.95" customHeight="1">
      <c r="A32" s="13" t="s">
        <v>35</v>
      </c>
      <c r="B32" s="38">
        <v>8087</v>
      </c>
      <c r="C32" s="38">
        <v>5864.9</v>
      </c>
      <c r="D32" s="4">
        <f t="shared" si="16"/>
        <v>0.72522567082972667</v>
      </c>
      <c r="E32" s="11">
        <v>10</v>
      </c>
      <c r="F32" s="69" t="s">
        <v>412</v>
      </c>
      <c r="G32" s="69" t="s">
        <v>412</v>
      </c>
      <c r="H32" s="69" t="s">
        <v>412</v>
      </c>
      <c r="I32" s="69" t="s">
        <v>412</v>
      </c>
      <c r="J32" s="73">
        <v>2.2000000000000002</v>
      </c>
      <c r="K32" s="73">
        <v>1.9</v>
      </c>
      <c r="L32" s="4">
        <f t="shared" si="17"/>
        <v>1.1578947368421053</v>
      </c>
      <c r="M32" s="11">
        <v>15</v>
      </c>
      <c r="N32" s="38">
        <v>9510.4</v>
      </c>
      <c r="O32" s="38">
        <v>8973.7000000000007</v>
      </c>
      <c r="P32" s="4">
        <f t="shared" si="18"/>
        <v>0.94356704239569322</v>
      </c>
      <c r="Q32" s="11">
        <v>20</v>
      </c>
      <c r="R32" s="11">
        <v>1</v>
      </c>
      <c r="S32" s="11">
        <v>15</v>
      </c>
      <c r="T32" s="38">
        <v>294</v>
      </c>
      <c r="U32" s="38">
        <v>361.5</v>
      </c>
      <c r="V32" s="4">
        <f t="shared" si="24"/>
        <v>1.2295918367346939</v>
      </c>
      <c r="W32" s="11">
        <v>20</v>
      </c>
      <c r="X32" s="38">
        <v>26</v>
      </c>
      <c r="Y32" s="38">
        <v>25.3</v>
      </c>
      <c r="Z32" s="4">
        <f t="shared" si="25"/>
        <v>0.97307692307692306</v>
      </c>
      <c r="AA32" s="11">
        <v>10</v>
      </c>
      <c r="AB32" s="50">
        <f t="shared" si="26"/>
        <v>1.0312736063811756</v>
      </c>
      <c r="AC32" s="50">
        <f t="shared" si="27"/>
        <v>1.0312736063811756</v>
      </c>
      <c r="AD32" s="51">
        <v>35577</v>
      </c>
      <c r="AE32" s="38">
        <f t="shared" si="19"/>
        <v>3234.2727272727275</v>
      </c>
      <c r="AF32" s="38">
        <f t="shared" si="20"/>
        <v>3335.4</v>
      </c>
      <c r="AG32" s="38">
        <f t="shared" si="21"/>
        <v>101.12727272727261</v>
      </c>
      <c r="AH32" s="38">
        <v>3475.2</v>
      </c>
      <c r="AI32" s="38">
        <f t="shared" si="22"/>
        <v>6810.6</v>
      </c>
      <c r="AJ32" s="38"/>
      <c r="AK32" s="38">
        <f t="shared" si="23"/>
        <v>6810.6</v>
      </c>
    </row>
    <row r="33" spans="1:193" s="2" customFormat="1" ht="16.95" customHeight="1">
      <c r="A33" s="13" t="s">
        <v>1</v>
      </c>
      <c r="B33" s="38">
        <v>747212</v>
      </c>
      <c r="C33" s="38">
        <v>662031</v>
      </c>
      <c r="D33" s="4">
        <f t="shared" si="16"/>
        <v>0.88600156314406087</v>
      </c>
      <c r="E33" s="11">
        <v>10</v>
      </c>
      <c r="F33" s="69" t="s">
        <v>412</v>
      </c>
      <c r="G33" s="69" t="s">
        <v>412</v>
      </c>
      <c r="H33" s="69" t="s">
        <v>412</v>
      </c>
      <c r="I33" s="69" t="s">
        <v>412</v>
      </c>
      <c r="J33" s="73">
        <v>1</v>
      </c>
      <c r="K33" s="73">
        <v>0.9</v>
      </c>
      <c r="L33" s="4">
        <f t="shared" si="17"/>
        <v>1.1111111111111112</v>
      </c>
      <c r="M33" s="11">
        <v>10</v>
      </c>
      <c r="N33" s="38">
        <v>47205.5</v>
      </c>
      <c r="O33" s="38">
        <v>49035.5</v>
      </c>
      <c r="P33" s="4">
        <f t="shared" si="18"/>
        <v>1.0387666691381301</v>
      </c>
      <c r="Q33" s="11">
        <v>20</v>
      </c>
      <c r="R33" s="11">
        <v>1</v>
      </c>
      <c r="S33" s="11">
        <v>15</v>
      </c>
      <c r="T33" s="38">
        <v>634.20000000000005</v>
      </c>
      <c r="U33" s="38">
        <v>683.2</v>
      </c>
      <c r="V33" s="4">
        <f t="shared" si="24"/>
        <v>1.0772626931567328</v>
      </c>
      <c r="W33" s="11">
        <v>15</v>
      </c>
      <c r="X33" s="38">
        <v>452.5</v>
      </c>
      <c r="Y33" s="38">
        <v>567.9</v>
      </c>
      <c r="Z33" s="4">
        <f t="shared" si="25"/>
        <v>1.2550276243093923</v>
      </c>
      <c r="AA33" s="11">
        <v>15</v>
      </c>
      <c r="AB33" s="50">
        <f t="shared" si="26"/>
        <v>1.067421351615367</v>
      </c>
      <c r="AC33" s="50">
        <f t="shared" si="27"/>
        <v>1.067421351615367</v>
      </c>
      <c r="AD33" s="51">
        <v>63649</v>
      </c>
      <c r="AE33" s="38">
        <f t="shared" si="19"/>
        <v>5786.272727272727</v>
      </c>
      <c r="AF33" s="38">
        <f t="shared" si="20"/>
        <v>6176.4</v>
      </c>
      <c r="AG33" s="38">
        <f t="shared" si="21"/>
        <v>390.12727272727261</v>
      </c>
      <c r="AH33" s="38">
        <v>2958.6</v>
      </c>
      <c r="AI33" s="38">
        <f t="shared" si="22"/>
        <v>9135</v>
      </c>
      <c r="AJ33" s="38"/>
      <c r="AK33" s="38">
        <f t="shared" si="23"/>
        <v>9135</v>
      </c>
    </row>
    <row r="34" spans="1:193" s="2" customFormat="1" ht="16.95" customHeight="1">
      <c r="A34" s="13" t="s">
        <v>36</v>
      </c>
      <c r="B34" s="38">
        <v>594787</v>
      </c>
      <c r="C34" s="38">
        <v>1352022</v>
      </c>
      <c r="D34" s="4">
        <f t="shared" si="16"/>
        <v>2.2731196209735587</v>
      </c>
      <c r="E34" s="11">
        <v>10</v>
      </c>
      <c r="F34" s="69" t="s">
        <v>412</v>
      </c>
      <c r="G34" s="69" t="s">
        <v>412</v>
      </c>
      <c r="H34" s="69" t="s">
        <v>412</v>
      </c>
      <c r="I34" s="69" t="s">
        <v>412</v>
      </c>
      <c r="J34" s="73">
        <v>1.3</v>
      </c>
      <c r="K34" s="73">
        <v>1.3</v>
      </c>
      <c r="L34" s="4">
        <f t="shared" si="17"/>
        <v>1</v>
      </c>
      <c r="M34" s="11">
        <v>10</v>
      </c>
      <c r="N34" s="38">
        <v>24952.799999999999</v>
      </c>
      <c r="O34" s="38">
        <v>23802.3</v>
      </c>
      <c r="P34" s="4">
        <f t="shared" si="18"/>
        <v>0.95389294988939122</v>
      </c>
      <c r="Q34" s="11">
        <v>20</v>
      </c>
      <c r="R34" s="11">
        <v>1</v>
      </c>
      <c r="S34" s="11">
        <v>15</v>
      </c>
      <c r="T34" s="38">
        <v>184</v>
      </c>
      <c r="U34" s="38">
        <v>229.2</v>
      </c>
      <c r="V34" s="4">
        <f t="shared" si="24"/>
        <v>1.2456521739130435</v>
      </c>
      <c r="W34" s="11">
        <v>10</v>
      </c>
      <c r="X34" s="38">
        <v>18</v>
      </c>
      <c r="Y34" s="38">
        <v>27.9</v>
      </c>
      <c r="Z34" s="4">
        <f t="shared" si="25"/>
        <v>1.5499999999999998</v>
      </c>
      <c r="AA34" s="11">
        <v>15</v>
      </c>
      <c r="AB34" s="50">
        <f t="shared" si="26"/>
        <v>1.2814447118331731</v>
      </c>
      <c r="AC34" s="50">
        <f t="shared" si="27"/>
        <v>1.2081444711833174</v>
      </c>
      <c r="AD34" s="51">
        <v>25647</v>
      </c>
      <c r="AE34" s="38">
        <f t="shared" si="19"/>
        <v>2331.5454545454545</v>
      </c>
      <c r="AF34" s="38">
        <f t="shared" si="20"/>
        <v>2816.8</v>
      </c>
      <c r="AG34" s="38">
        <f t="shared" si="21"/>
        <v>485.25454545454568</v>
      </c>
      <c r="AH34" s="38">
        <v>-203.7</v>
      </c>
      <c r="AI34" s="38">
        <f t="shared" si="22"/>
        <v>2613.1000000000004</v>
      </c>
      <c r="AJ34" s="38"/>
      <c r="AK34" s="38">
        <f t="shared" si="23"/>
        <v>2613.1</v>
      </c>
    </row>
    <row r="35" spans="1:193" s="2" customFormat="1" ht="16.95" customHeight="1">
      <c r="A35" s="13" t="s">
        <v>37</v>
      </c>
      <c r="B35" s="38">
        <v>74140</v>
      </c>
      <c r="C35" s="38">
        <v>114109.4</v>
      </c>
      <c r="D35" s="4">
        <f t="shared" si="16"/>
        <v>1.5391070946857297</v>
      </c>
      <c r="E35" s="11">
        <v>10</v>
      </c>
      <c r="F35" s="69" t="s">
        <v>412</v>
      </c>
      <c r="G35" s="69" t="s">
        <v>412</v>
      </c>
      <c r="H35" s="69" t="s">
        <v>412</v>
      </c>
      <c r="I35" s="69" t="s">
        <v>412</v>
      </c>
      <c r="J35" s="73">
        <v>2.5</v>
      </c>
      <c r="K35" s="73">
        <v>2.2999999999999998</v>
      </c>
      <c r="L35" s="4">
        <f t="shared" si="17"/>
        <v>1.0869565217391306</v>
      </c>
      <c r="M35" s="11">
        <v>15</v>
      </c>
      <c r="N35" s="38">
        <v>10620.3</v>
      </c>
      <c r="O35" s="38">
        <v>7909.8</v>
      </c>
      <c r="P35" s="4">
        <f t="shared" si="18"/>
        <v>0.74478122086946708</v>
      </c>
      <c r="Q35" s="11">
        <v>20</v>
      </c>
      <c r="R35" s="11">
        <v>1</v>
      </c>
      <c r="S35" s="11">
        <v>15</v>
      </c>
      <c r="T35" s="38">
        <v>224</v>
      </c>
      <c r="U35" s="38">
        <v>289.10000000000002</v>
      </c>
      <c r="V35" s="4">
        <f t="shared" si="24"/>
        <v>1.2906250000000001</v>
      </c>
      <c r="W35" s="11">
        <v>15</v>
      </c>
      <c r="X35" s="38">
        <v>26</v>
      </c>
      <c r="Y35" s="38">
        <v>30.8</v>
      </c>
      <c r="Z35" s="4">
        <f t="shared" si="25"/>
        <v>1.1846153846153846</v>
      </c>
      <c r="AA35" s="11">
        <v>15</v>
      </c>
      <c r="AB35" s="50">
        <f t="shared" si="26"/>
        <v>1.0968849884396041</v>
      </c>
      <c r="AC35" s="50">
        <f t="shared" si="27"/>
        <v>1.0968849884396041</v>
      </c>
      <c r="AD35" s="51">
        <v>25562</v>
      </c>
      <c r="AE35" s="38">
        <f t="shared" si="19"/>
        <v>2323.818181818182</v>
      </c>
      <c r="AF35" s="38">
        <f t="shared" si="20"/>
        <v>2549</v>
      </c>
      <c r="AG35" s="38">
        <f t="shared" si="21"/>
        <v>225.18181818181802</v>
      </c>
      <c r="AH35" s="38">
        <v>24.8</v>
      </c>
      <c r="AI35" s="38">
        <f t="shared" si="22"/>
        <v>2573.8000000000002</v>
      </c>
      <c r="AJ35" s="38"/>
      <c r="AK35" s="38">
        <f t="shared" si="23"/>
        <v>2573.8000000000002</v>
      </c>
    </row>
    <row r="36" spans="1:193" s="2" customFormat="1" ht="16.95" customHeight="1">
      <c r="A36" s="13" t="s">
        <v>38</v>
      </c>
      <c r="B36" s="38">
        <v>9678</v>
      </c>
      <c r="C36" s="38">
        <v>9338.7000000000007</v>
      </c>
      <c r="D36" s="4">
        <f t="shared" si="16"/>
        <v>0.96494110353378804</v>
      </c>
      <c r="E36" s="11">
        <v>10</v>
      </c>
      <c r="F36" s="69" t="s">
        <v>412</v>
      </c>
      <c r="G36" s="69" t="s">
        <v>412</v>
      </c>
      <c r="H36" s="69" t="s">
        <v>412</v>
      </c>
      <c r="I36" s="69" t="s">
        <v>412</v>
      </c>
      <c r="J36" s="73">
        <v>2</v>
      </c>
      <c r="K36" s="73">
        <v>1.7</v>
      </c>
      <c r="L36" s="4">
        <f t="shared" si="17"/>
        <v>1.1764705882352942</v>
      </c>
      <c r="M36" s="11">
        <v>15</v>
      </c>
      <c r="N36" s="38">
        <v>8608.4</v>
      </c>
      <c r="O36" s="38">
        <v>8893.2999999999993</v>
      </c>
      <c r="P36" s="4">
        <f t="shared" si="18"/>
        <v>1.0330955810603597</v>
      </c>
      <c r="Q36" s="11">
        <v>20</v>
      </c>
      <c r="R36" s="11">
        <v>1</v>
      </c>
      <c r="S36" s="11">
        <v>15</v>
      </c>
      <c r="T36" s="38">
        <v>1125</v>
      </c>
      <c r="U36" s="38">
        <v>1128.9000000000001</v>
      </c>
      <c r="V36" s="4">
        <f t="shared" si="24"/>
        <v>1.0034666666666667</v>
      </c>
      <c r="W36" s="11">
        <v>20</v>
      </c>
      <c r="X36" s="38">
        <v>468.6</v>
      </c>
      <c r="Y36" s="38">
        <v>501.3</v>
      </c>
      <c r="Z36" s="4">
        <f t="shared" si="25"/>
        <v>1.0697823303457106</v>
      </c>
      <c r="AA36" s="11">
        <v>20</v>
      </c>
      <c r="AB36" s="50">
        <f t="shared" si="26"/>
        <v>1.0442336142032205</v>
      </c>
      <c r="AC36" s="50">
        <f t="shared" si="27"/>
        <v>1.0442336142032205</v>
      </c>
      <c r="AD36" s="51">
        <v>77103</v>
      </c>
      <c r="AE36" s="38">
        <f t="shared" si="19"/>
        <v>7009.363636363636</v>
      </c>
      <c r="AF36" s="38">
        <f t="shared" si="20"/>
        <v>7319.4</v>
      </c>
      <c r="AG36" s="38">
        <f t="shared" si="21"/>
        <v>310.0363636363636</v>
      </c>
      <c r="AH36" s="38">
        <v>559.4</v>
      </c>
      <c r="AI36" s="38">
        <f t="shared" si="22"/>
        <v>7878.7999999999993</v>
      </c>
      <c r="AJ36" s="38"/>
      <c r="AK36" s="38">
        <f t="shared" si="23"/>
        <v>7878.8</v>
      </c>
    </row>
    <row r="37" spans="1:193" s="2" customFormat="1" ht="16.95" customHeight="1">
      <c r="A37" s="13" t="s">
        <v>39</v>
      </c>
      <c r="B37" s="38">
        <v>12758</v>
      </c>
      <c r="C37" s="38">
        <v>12972</v>
      </c>
      <c r="D37" s="4">
        <f t="shared" si="16"/>
        <v>1.0167737889951403</v>
      </c>
      <c r="E37" s="11">
        <v>10</v>
      </c>
      <c r="F37" s="69" t="s">
        <v>412</v>
      </c>
      <c r="G37" s="69" t="s">
        <v>412</v>
      </c>
      <c r="H37" s="69" t="s">
        <v>412</v>
      </c>
      <c r="I37" s="69" t="s">
        <v>412</v>
      </c>
      <c r="J37" s="73">
        <v>5.5</v>
      </c>
      <c r="K37" s="73">
        <v>5.5</v>
      </c>
      <c r="L37" s="4">
        <f t="shared" si="17"/>
        <v>1</v>
      </c>
      <c r="M37" s="11">
        <v>15</v>
      </c>
      <c r="N37" s="38">
        <v>7445.7</v>
      </c>
      <c r="O37" s="38">
        <v>8724.7000000000007</v>
      </c>
      <c r="P37" s="4">
        <f t="shared" si="18"/>
        <v>1.1717769988046793</v>
      </c>
      <c r="Q37" s="11">
        <v>20</v>
      </c>
      <c r="R37" s="11">
        <v>1</v>
      </c>
      <c r="S37" s="11">
        <v>15</v>
      </c>
      <c r="T37" s="38">
        <v>247</v>
      </c>
      <c r="U37" s="38">
        <v>278.10000000000002</v>
      </c>
      <c r="V37" s="4">
        <f t="shared" si="24"/>
        <v>1.1259109311740891</v>
      </c>
      <c r="W37" s="11">
        <v>10</v>
      </c>
      <c r="X37" s="38">
        <v>45</v>
      </c>
      <c r="Y37" s="38">
        <v>51</v>
      </c>
      <c r="Z37" s="4">
        <f t="shared" si="25"/>
        <v>1.1333333333333333</v>
      </c>
      <c r="AA37" s="11">
        <v>35</v>
      </c>
      <c r="AB37" s="50">
        <f t="shared" si="26"/>
        <v>1.0907528937566908</v>
      </c>
      <c r="AC37" s="50">
        <f t="shared" si="27"/>
        <v>1.0907528937566908</v>
      </c>
      <c r="AD37" s="51">
        <v>72175</v>
      </c>
      <c r="AE37" s="38">
        <f t="shared" si="19"/>
        <v>6561.363636363636</v>
      </c>
      <c r="AF37" s="38">
        <f t="shared" si="20"/>
        <v>7156.8</v>
      </c>
      <c r="AG37" s="38">
        <f t="shared" si="21"/>
        <v>595.43636363636415</v>
      </c>
      <c r="AH37" s="38">
        <v>3008.6</v>
      </c>
      <c r="AI37" s="38">
        <f t="shared" si="22"/>
        <v>10165.4</v>
      </c>
      <c r="AJ37" s="38"/>
      <c r="AK37" s="38">
        <f t="shared" si="23"/>
        <v>10165.4</v>
      </c>
    </row>
    <row r="38" spans="1:193" s="2" customFormat="1" ht="16.95" customHeight="1">
      <c r="A38" s="13" t="s">
        <v>40</v>
      </c>
      <c r="B38" s="38">
        <v>136171</v>
      </c>
      <c r="C38" s="38">
        <v>152426.6</v>
      </c>
      <c r="D38" s="4">
        <f t="shared" si="16"/>
        <v>1.1193763723553474</v>
      </c>
      <c r="E38" s="11">
        <v>10</v>
      </c>
      <c r="F38" s="69" t="s">
        <v>412</v>
      </c>
      <c r="G38" s="69" t="s">
        <v>412</v>
      </c>
      <c r="H38" s="69" t="s">
        <v>412</v>
      </c>
      <c r="I38" s="69" t="s">
        <v>412</v>
      </c>
      <c r="J38" s="73">
        <v>1.3</v>
      </c>
      <c r="K38" s="73">
        <v>1.2</v>
      </c>
      <c r="L38" s="4">
        <f t="shared" si="17"/>
        <v>1.0833333333333335</v>
      </c>
      <c r="M38" s="11">
        <v>10</v>
      </c>
      <c r="N38" s="38">
        <v>36270.699999999997</v>
      </c>
      <c r="O38" s="38">
        <v>34818</v>
      </c>
      <c r="P38" s="4">
        <f t="shared" si="18"/>
        <v>0.95994838809286842</v>
      </c>
      <c r="Q38" s="11">
        <v>20</v>
      </c>
      <c r="R38" s="11">
        <v>1</v>
      </c>
      <c r="S38" s="11">
        <v>15</v>
      </c>
      <c r="T38" s="38">
        <v>181</v>
      </c>
      <c r="U38" s="38">
        <v>183.1</v>
      </c>
      <c r="V38" s="4">
        <f t="shared" si="24"/>
        <v>1.0116022099447513</v>
      </c>
      <c r="W38" s="11">
        <v>5</v>
      </c>
      <c r="X38" s="38">
        <v>12.8</v>
      </c>
      <c r="Y38" s="38">
        <v>12.8</v>
      </c>
      <c r="Z38" s="4">
        <f t="shared" si="25"/>
        <v>1</v>
      </c>
      <c r="AA38" s="11">
        <v>15</v>
      </c>
      <c r="AB38" s="50">
        <f t="shared" si="26"/>
        <v>1.0171210115795726</v>
      </c>
      <c r="AC38" s="50">
        <f t="shared" si="27"/>
        <v>1.0171210115795726</v>
      </c>
      <c r="AD38" s="51">
        <v>22651</v>
      </c>
      <c r="AE38" s="38">
        <f t="shared" si="19"/>
        <v>2059.181818181818</v>
      </c>
      <c r="AF38" s="38">
        <f t="shared" si="20"/>
        <v>2094.4</v>
      </c>
      <c r="AG38" s="38">
        <f t="shared" si="21"/>
        <v>35.218181818182074</v>
      </c>
      <c r="AH38" s="38">
        <v>-551.6</v>
      </c>
      <c r="AI38" s="38">
        <f t="shared" si="22"/>
        <v>1542.8000000000002</v>
      </c>
      <c r="AJ38" s="38"/>
      <c r="AK38" s="38">
        <f t="shared" si="23"/>
        <v>1542.8</v>
      </c>
    </row>
    <row r="39" spans="1:193" s="2" customFormat="1" ht="16.95" customHeight="1">
      <c r="A39" s="13" t="s">
        <v>41</v>
      </c>
      <c r="B39" s="38">
        <v>1116182</v>
      </c>
      <c r="C39" s="38">
        <v>1122579.1000000001</v>
      </c>
      <c r="D39" s="4">
        <f t="shared" si="16"/>
        <v>1.0057312337952056</v>
      </c>
      <c r="E39" s="11">
        <v>10</v>
      </c>
      <c r="F39" s="69" t="s">
        <v>412</v>
      </c>
      <c r="G39" s="69" t="s">
        <v>412</v>
      </c>
      <c r="H39" s="69" t="s">
        <v>412</v>
      </c>
      <c r="I39" s="69" t="s">
        <v>412</v>
      </c>
      <c r="J39" s="73">
        <v>0.7</v>
      </c>
      <c r="K39" s="73">
        <v>0.7</v>
      </c>
      <c r="L39" s="4">
        <f t="shared" si="17"/>
        <v>1</v>
      </c>
      <c r="M39" s="11">
        <v>5</v>
      </c>
      <c r="N39" s="38">
        <v>57096.3</v>
      </c>
      <c r="O39" s="38">
        <v>45820.3</v>
      </c>
      <c r="P39" s="4">
        <f t="shared" si="18"/>
        <v>0.8025090942845684</v>
      </c>
      <c r="Q39" s="11">
        <v>20</v>
      </c>
      <c r="R39" s="11">
        <v>1</v>
      </c>
      <c r="S39" s="11">
        <v>15</v>
      </c>
      <c r="T39" s="38">
        <v>1383</v>
      </c>
      <c r="U39" s="38">
        <v>1503.5</v>
      </c>
      <c r="V39" s="4">
        <f t="shared" si="24"/>
        <v>1.0871294287780189</v>
      </c>
      <c r="W39" s="11">
        <v>15</v>
      </c>
      <c r="X39" s="38">
        <v>910</v>
      </c>
      <c r="Y39" s="38">
        <v>892.1</v>
      </c>
      <c r="Z39" s="4">
        <f t="shared" si="25"/>
        <v>0.98032967032967033</v>
      </c>
      <c r="AA39" s="11">
        <v>25</v>
      </c>
      <c r="AB39" s="50">
        <f t="shared" si="26"/>
        <v>0.9658075268172831</v>
      </c>
      <c r="AC39" s="50">
        <f t="shared" si="27"/>
        <v>0.9658075268172831</v>
      </c>
      <c r="AD39" s="51">
        <v>83634</v>
      </c>
      <c r="AE39" s="38">
        <f t="shared" si="19"/>
        <v>7603.090909090909</v>
      </c>
      <c r="AF39" s="38">
        <f t="shared" si="20"/>
        <v>7343.1</v>
      </c>
      <c r="AG39" s="38">
        <f t="shared" si="21"/>
        <v>-259.99090909090864</v>
      </c>
      <c r="AH39" s="38">
        <v>1018.8</v>
      </c>
      <c r="AI39" s="38">
        <f t="shared" si="22"/>
        <v>8361.9</v>
      </c>
      <c r="AJ39" s="38"/>
      <c r="AK39" s="38">
        <f t="shared" si="23"/>
        <v>8361.9</v>
      </c>
    </row>
    <row r="40" spans="1:193" s="2" customFormat="1" ht="16.95" customHeight="1">
      <c r="A40" s="13" t="s">
        <v>42</v>
      </c>
      <c r="B40" s="38">
        <v>20377</v>
      </c>
      <c r="C40" s="38">
        <v>37302.1</v>
      </c>
      <c r="D40" s="4">
        <f t="shared" si="16"/>
        <v>1.8305982234872651</v>
      </c>
      <c r="E40" s="11">
        <v>10</v>
      </c>
      <c r="F40" s="69" t="s">
        <v>412</v>
      </c>
      <c r="G40" s="69" t="s">
        <v>412</v>
      </c>
      <c r="H40" s="69" t="s">
        <v>412</v>
      </c>
      <c r="I40" s="69" t="s">
        <v>412</v>
      </c>
      <c r="J40" s="73">
        <v>0.7</v>
      </c>
      <c r="K40" s="73">
        <v>0.8</v>
      </c>
      <c r="L40" s="4">
        <f t="shared" si="17"/>
        <v>0.87499999999999989</v>
      </c>
      <c r="M40" s="11">
        <v>5</v>
      </c>
      <c r="N40" s="38">
        <v>14477.5</v>
      </c>
      <c r="O40" s="38">
        <v>17642.2</v>
      </c>
      <c r="P40" s="4">
        <f t="shared" si="18"/>
        <v>1.2185943705750302</v>
      </c>
      <c r="Q40" s="11">
        <v>20</v>
      </c>
      <c r="R40" s="11">
        <v>1</v>
      </c>
      <c r="S40" s="11">
        <v>15</v>
      </c>
      <c r="T40" s="38">
        <v>641</v>
      </c>
      <c r="U40" s="38">
        <v>656.1</v>
      </c>
      <c r="V40" s="4">
        <f t="shared" si="24"/>
        <v>1.0235569422776911</v>
      </c>
      <c r="W40" s="11">
        <v>20</v>
      </c>
      <c r="X40" s="38">
        <v>20</v>
      </c>
      <c r="Y40" s="38">
        <v>19.899999999999999</v>
      </c>
      <c r="Z40" s="4">
        <f t="shared" si="25"/>
        <v>0.99499999999999988</v>
      </c>
      <c r="AA40" s="11">
        <v>15</v>
      </c>
      <c r="AB40" s="50">
        <f t="shared" si="26"/>
        <v>1.1464589234344362</v>
      </c>
      <c r="AC40" s="50">
        <f t="shared" si="27"/>
        <v>1.1464589234344362</v>
      </c>
      <c r="AD40" s="51">
        <v>37752</v>
      </c>
      <c r="AE40" s="38">
        <f t="shared" si="19"/>
        <v>3432</v>
      </c>
      <c r="AF40" s="38">
        <f t="shared" si="20"/>
        <v>3934.6</v>
      </c>
      <c r="AG40" s="38">
        <f t="shared" si="21"/>
        <v>502.59999999999991</v>
      </c>
      <c r="AH40" s="38">
        <v>4472.3999999999996</v>
      </c>
      <c r="AI40" s="38">
        <f t="shared" si="22"/>
        <v>8407</v>
      </c>
      <c r="AJ40" s="38"/>
      <c r="AK40" s="38">
        <f t="shared" si="23"/>
        <v>8407</v>
      </c>
    </row>
    <row r="41" spans="1:193" s="2" customFormat="1" ht="16.95" customHeight="1">
      <c r="A41" s="13" t="s">
        <v>2</v>
      </c>
      <c r="B41" s="38">
        <v>7657</v>
      </c>
      <c r="C41" s="38">
        <v>8163.9</v>
      </c>
      <c r="D41" s="4">
        <f t="shared" si="16"/>
        <v>1.0662008619563796</v>
      </c>
      <c r="E41" s="11">
        <v>10</v>
      </c>
      <c r="F41" s="69" t="s">
        <v>412</v>
      </c>
      <c r="G41" s="69" t="s">
        <v>412</v>
      </c>
      <c r="H41" s="69" t="s">
        <v>412</v>
      </c>
      <c r="I41" s="69" t="s">
        <v>412</v>
      </c>
      <c r="J41" s="73">
        <v>2.2999999999999998</v>
      </c>
      <c r="K41" s="73">
        <v>2.2999999999999998</v>
      </c>
      <c r="L41" s="4">
        <f t="shared" si="17"/>
        <v>1</v>
      </c>
      <c r="M41" s="11">
        <v>15</v>
      </c>
      <c r="N41" s="38">
        <v>6921.1</v>
      </c>
      <c r="O41" s="38">
        <v>4376.5</v>
      </c>
      <c r="P41" s="4">
        <f t="shared" si="18"/>
        <v>0.63234167979078471</v>
      </c>
      <c r="Q41" s="11">
        <v>20</v>
      </c>
      <c r="R41" s="11">
        <v>1</v>
      </c>
      <c r="S41" s="11">
        <v>15</v>
      </c>
      <c r="T41" s="38">
        <v>373</v>
      </c>
      <c r="U41" s="38">
        <v>390.5</v>
      </c>
      <c r="V41" s="4">
        <f t="shared" si="24"/>
        <v>1.0469168900804289</v>
      </c>
      <c r="W41" s="11">
        <v>15</v>
      </c>
      <c r="X41" s="38">
        <v>53</v>
      </c>
      <c r="Y41" s="38">
        <v>54.3</v>
      </c>
      <c r="Z41" s="4">
        <f t="shared" si="25"/>
        <v>1.0245283018867923</v>
      </c>
      <c r="AA41" s="11">
        <v>15</v>
      </c>
      <c r="AB41" s="50">
        <f t="shared" si="26"/>
        <v>0.93756133438764233</v>
      </c>
      <c r="AC41" s="50">
        <f t="shared" si="27"/>
        <v>0.93756133438764233</v>
      </c>
      <c r="AD41" s="51">
        <v>38772</v>
      </c>
      <c r="AE41" s="38">
        <f t="shared" si="19"/>
        <v>3524.7272727272725</v>
      </c>
      <c r="AF41" s="38">
        <f t="shared" si="20"/>
        <v>3304.6</v>
      </c>
      <c r="AG41" s="38">
        <f t="shared" si="21"/>
        <v>-220.12727272727261</v>
      </c>
      <c r="AH41" s="38">
        <v>1807.1</v>
      </c>
      <c r="AI41" s="38">
        <f t="shared" si="22"/>
        <v>5111.7</v>
      </c>
      <c r="AJ41" s="38"/>
      <c r="AK41" s="38">
        <f t="shared" si="23"/>
        <v>5111.7</v>
      </c>
    </row>
    <row r="42" spans="1:193" s="2" customFormat="1" ht="16.95" customHeight="1">
      <c r="A42" s="13" t="s">
        <v>43</v>
      </c>
      <c r="B42" s="38">
        <v>24439</v>
      </c>
      <c r="C42" s="38">
        <v>21612.5</v>
      </c>
      <c r="D42" s="4">
        <f t="shared" si="16"/>
        <v>0.8843446949547854</v>
      </c>
      <c r="E42" s="11">
        <v>10</v>
      </c>
      <c r="F42" s="69" t="s">
        <v>412</v>
      </c>
      <c r="G42" s="69" t="s">
        <v>412</v>
      </c>
      <c r="H42" s="69" t="s">
        <v>412</v>
      </c>
      <c r="I42" s="69" t="s">
        <v>412</v>
      </c>
      <c r="J42" s="73">
        <v>1.7</v>
      </c>
      <c r="K42" s="73">
        <v>1.6</v>
      </c>
      <c r="L42" s="4">
        <f t="shared" si="17"/>
        <v>1.0625</v>
      </c>
      <c r="M42" s="11">
        <v>10</v>
      </c>
      <c r="N42" s="38">
        <v>10142.5</v>
      </c>
      <c r="O42" s="38">
        <v>9031.2000000000007</v>
      </c>
      <c r="P42" s="4">
        <f t="shared" si="18"/>
        <v>0.89043135321666267</v>
      </c>
      <c r="Q42" s="11">
        <v>20</v>
      </c>
      <c r="R42" s="11">
        <v>1</v>
      </c>
      <c r="S42" s="11">
        <v>15</v>
      </c>
      <c r="T42" s="38">
        <v>346</v>
      </c>
      <c r="U42" s="38">
        <v>347.6</v>
      </c>
      <c r="V42" s="4">
        <f t="shared" si="24"/>
        <v>1.0046242774566474</v>
      </c>
      <c r="W42" s="11">
        <v>20</v>
      </c>
      <c r="X42" s="38">
        <v>17.600000000000001</v>
      </c>
      <c r="Y42" s="38">
        <v>17.899999999999999</v>
      </c>
      <c r="Z42" s="4">
        <f t="shared" si="25"/>
        <v>1.0170454545454544</v>
      </c>
      <c r="AA42" s="11">
        <v>15</v>
      </c>
      <c r="AB42" s="50">
        <f t="shared" si="26"/>
        <v>0.97361379312439844</v>
      </c>
      <c r="AC42" s="50">
        <f t="shared" si="27"/>
        <v>0.97361379312439844</v>
      </c>
      <c r="AD42" s="51">
        <v>25350</v>
      </c>
      <c r="AE42" s="38">
        <f t="shared" si="19"/>
        <v>2304.5454545454545</v>
      </c>
      <c r="AF42" s="38">
        <f t="shared" si="20"/>
        <v>2243.6999999999998</v>
      </c>
      <c r="AG42" s="38">
        <f t="shared" si="21"/>
        <v>-60.845454545454686</v>
      </c>
      <c r="AH42" s="38">
        <v>1431.7</v>
      </c>
      <c r="AI42" s="38">
        <f t="shared" si="22"/>
        <v>3675.3999999999996</v>
      </c>
      <c r="AJ42" s="38"/>
      <c r="AK42" s="38">
        <f t="shared" si="23"/>
        <v>3675.4</v>
      </c>
    </row>
    <row r="43" spans="1:193" s="2" customFormat="1" ht="16.95" customHeight="1">
      <c r="A43" s="13" t="s">
        <v>3</v>
      </c>
      <c r="B43" s="38">
        <v>55022</v>
      </c>
      <c r="C43" s="38">
        <v>51042.1</v>
      </c>
      <c r="D43" s="4">
        <f t="shared" si="16"/>
        <v>0.9276671149721929</v>
      </c>
      <c r="E43" s="11">
        <v>10</v>
      </c>
      <c r="F43" s="69" t="s">
        <v>412</v>
      </c>
      <c r="G43" s="69" t="s">
        <v>412</v>
      </c>
      <c r="H43" s="69" t="s">
        <v>412</v>
      </c>
      <c r="I43" s="69" t="s">
        <v>412</v>
      </c>
      <c r="J43" s="73">
        <v>2.1</v>
      </c>
      <c r="K43" s="73">
        <v>1.8</v>
      </c>
      <c r="L43" s="4">
        <f t="shared" si="17"/>
        <v>1.1666666666666667</v>
      </c>
      <c r="M43" s="11">
        <v>10</v>
      </c>
      <c r="N43" s="38">
        <v>7580.4</v>
      </c>
      <c r="O43" s="38">
        <v>8017.8</v>
      </c>
      <c r="P43" s="4">
        <f t="shared" si="18"/>
        <v>1.0577014405572267</v>
      </c>
      <c r="Q43" s="11">
        <v>20</v>
      </c>
      <c r="R43" s="11">
        <v>1</v>
      </c>
      <c r="S43" s="11">
        <v>15</v>
      </c>
      <c r="T43" s="38">
        <v>539</v>
      </c>
      <c r="U43" s="38">
        <v>567.6</v>
      </c>
      <c r="V43" s="4">
        <f t="shared" si="24"/>
        <v>1.0530612244897959</v>
      </c>
      <c r="W43" s="11">
        <v>20</v>
      </c>
      <c r="X43" s="38">
        <v>16.3</v>
      </c>
      <c r="Y43" s="38">
        <v>16.399999999999999</v>
      </c>
      <c r="Z43" s="4">
        <f t="shared" si="25"/>
        <v>1.0061349693251533</v>
      </c>
      <c r="AA43" s="11">
        <v>15</v>
      </c>
      <c r="AB43" s="50">
        <f t="shared" si="26"/>
        <v>1.0361179517467372</v>
      </c>
      <c r="AC43" s="50">
        <f t="shared" si="27"/>
        <v>1.0361179517467372</v>
      </c>
      <c r="AD43" s="51">
        <v>25379</v>
      </c>
      <c r="AE43" s="38">
        <f t="shared" si="19"/>
        <v>2307.181818181818</v>
      </c>
      <c r="AF43" s="38">
        <f t="shared" si="20"/>
        <v>2390.5</v>
      </c>
      <c r="AG43" s="38">
        <f t="shared" si="21"/>
        <v>83.318181818181984</v>
      </c>
      <c r="AH43" s="38">
        <v>530.9</v>
      </c>
      <c r="AI43" s="38">
        <f t="shared" si="22"/>
        <v>2921.4</v>
      </c>
      <c r="AJ43" s="38"/>
      <c r="AK43" s="38">
        <f t="shared" si="23"/>
        <v>2921.4</v>
      </c>
    </row>
    <row r="44" spans="1:193" s="2" customFormat="1" ht="16.95" customHeight="1">
      <c r="A44" s="13" t="s">
        <v>44</v>
      </c>
      <c r="B44" s="38">
        <v>8807</v>
      </c>
      <c r="C44" s="38">
        <v>8754.9</v>
      </c>
      <c r="D44" s="4">
        <f t="shared" si="16"/>
        <v>0.99408425116384691</v>
      </c>
      <c r="E44" s="11">
        <v>10</v>
      </c>
      <c r="F44" s="69" t="s">
        <v>412</v>
      </c>
      <c r="G44" s="69" t="s">
        <v>412</v>
      </c>
      <c r="H44" s="69" t="s">
        <v>412</v>
      </c>
      <c r="I44" s="69" t="s">
        <v>412</v>
      </c>
      <c r="J44" s="73">
        <v>1.5</v>
      </c>
      <c r="K44" s="73">
        <v>1.4</v>
      </c>
      <c r="L44" s="4">
        <f t="shared" si="17"/>
        <v>1.0714285714285714</v>
      </c>
      <c r="M44" s="11">
        <v>10</v>
      </c>
      <c r="N44" s="38">
        <v>8402.6</v>
      </c>
      <c r="O44" s="38">
        <v>6884.8</v>
      </c>
      <c r="P44" s="4">
        <f t="shared" si="18"/>
        <v>0.81936543450836641</v>
      </c>
      <c r="Q44" s="11">
        <v>20</v>
      </c>
      <c r="R44" s="11">
        <v>1</v>
      </c>
      <c r="S44" s="11">
        <v>15</v>
      </c>
      <c r="T44" s="38">
        <v>31</v>
      </c>
      <c r="U44" s="38">
        <v>34.5</v>
      </c>
      <c r="V44" s="4">
        <f t="shared" si="24"/>
        <v>1.1129032258064515</v>
      </c>
      <c r="W44" s="11">
        <v>10</v>
      </c>
      <c r="X44" s="38">
        <v>3</v>
      </c>
      <c r="Y44" s="38">
        <v>5.8</v>
      </c>
      <c r="Z44" s="4">
        <f t="shared" si="25"/>
        <v>1.9333333333333333</v>
      </c>
      <c r="AA44" s="11">
        <v>15</v>
      </c>
      <c r="AB44" s="50">
        <f t="shared" si="26"/>
        <v>1.1521433646769501</v>
      </c>
      <c r="AC44" s="50">
        <f t="shared" si="27"/>
        <v>1.1521433646769501</v>
      </c>
      <c r="AD44" s="51">
        <v>39340</v>
      </c>
      <c r="AE44" s="38">
        <f t="shared" si="19"/>
        <v>3576.3636363636365</v>
      </c>
      <c r="AF44" s="38">
        <f t="shared" si="20"/>
        <v>4120.5</v>
      </c>
      <c r="AG44" s="38">
        <f t="shared" si="21"/>
        <v>544.13636363636351</v>
      </c>
      <c r="AH44" s="38">
        <v>3829.2</v>
      </c>
      <c r="AI44" s="38">
        <f t="shared" si="22"/>
        <v>7949.7</v>
      </c>
      <c r="AJ44" s="38"/>
      <c r="AK44" s="38">
        <f t="shared" si="23"/>
        <v>7949.7</v>
      </c>
    </row>
    <row r="45" spans="1:193" s="2" customFormat="1" ht="16.95" customHeight="1">
      <c r="A45" s="17" t="s">
        <v>45</v>
      </c>
      <c r="B45" s="37">
        <f>SUM(B46:B376)</f>
        <v>6515350</v>
      </c>
      <c r="C45" s="37">
        <f>SUM(C46:C376)</f>
        <v>6234000.8000000007</v>
      </c>
      <c r="D45" s="6">
        <f>C45/B45</f>
        <v>0.9568174848626706</v>
      </c>
      <c r="E45" s="16"/>
      <c r="F45" s="7"/>
      <c r="G45" s="6"/>
      <c r="H45" s="6"/>
      <c r="I45" s="16"/>
      <c r="J45" s="7"/>
      <c r="K45" s="7"/>
      <c r="L45" s="7"/>
      <c r="M45" s="16"/>
      <c r="N45" s="37">
        <f t="shared" ref="N45:O45" si="28">SUM(N46:N376)</f>
        <v>221112.30000000016</v>
      </c>
      <c r="O45" s="37">
        <f t="shared" si="28"/>
        <v>266468.4000000002</v>
      </c>
      <c r="P45" s="6">
        <f>O45/N45</f>
        <v>1.2051269875081576</v>
      </c>
      <c r="Q45" s="16"/>
      <c r="R45" s="18"/>
      <c r="S45" s="16"/>
      <c r="T45" s="37">
        <f t="shared" ref="T45" si="29">SUM(T46:T376)</f>
        <v>14439.7</v>
      </c>
      <c r="U45" s="37">
        <f t="shared" ref="U45" si="30">SUM(U46:U376)</f>
        <v>15921.80000000001</v>
      </c>
      <c r="V45" s="6">
        <f>U45/T45</f>
        <v>1.102640636578323</v>
      </c>
      <c r="W45" s="16"/>
      <c r="X45" s="37">
        <f t="shared" ref="X45" si="31">SUM(X46:X376)</f>
        <v>5063.8999999999996</v>
      </c>
      <c r="Y45" s="37">
        <f t="shared" ref="Y45" si="32">SUM(Y46:Y376)</f>
        <v>5012.0000000000018</v>
      </c>
      <c r="Z45" s="6">
        <f>Y45/X45</f>
        <v>0.98975098244436155</v>
      </c>
      <c r="AA45" s="16"/>
      <c r="AB45" s="8"/>
      <c r="AC45" s="8"/>
      <c r="AD45" s="22">
        <f t="shared" ref="AD45:AK45" si="33">SUM(AD46:AD376)</f>
        <v>454815</v>
      </c>
      <c r="AE45" s="37">
        <f t="shared" si="33"/>
        <v>41346.818181818191</v>
      </c>
      <c r="AF45" s="37">
        <f t="shared" si="33"/>
        <v>43797.400000000045</v>
      </c>
      <c r="AG45" s="37">
        <f t="shared" si="33"/>
        <v>2450.5818181818186</v>
      </c>
      <c r="AH45" s="37">
        <f t="shared" si="33"/>
        <v>-539.0999999999998</v>
      </c>
      <c r="AI45" s="37">
        <f t="shared" si="33"/>
        <v>43258.299999999996</v>
      </c>
      <c r="AJ45" s="37">
        <f t="shared" si="33"/>
        <v>959.9</v>
      </c>
      <c r="AK45" s="37">
        <f t="shared" si="33"/>
        <v>42298.399999999965</v>
      </c>
    </row>
    <row r="46" spans="1:193" s="2" customFormat="1" ht="16.95" customHeight="1">
      <c r="A46" s="19" t="s">
        <v>46</v>
      </c>
      <c r="B46" s="7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193" s="2" customFormat="1" ht="16.95" customHeight="1">
      <c r="A47" s="14" t="s">
        <v>47</v>
      </c>
      <c r="B47" s="38">
        <v>50</v>
      </c>
      <c r="C47" s="38">
        <v>55</v>
      </c>
      <c r="D47" s="4">
        <f t="shared" ref="D47:D110" si="34">IF(E47=0,0,IF(B47=0,1,IF(C47&lt;0,0,C47/B47)))</f>
        <v>1.1000000000000001</v>
      </c>
      <c r="E47" s="11">
        <v>10</v>
      </c>
      <c r="F47" s="5" t="s">
        <v>371</v>
      </c>
      <c r="G47" s="5" t="s">
        <v>371</v>
      </c>
      <c r="H47" s="5" t="s">
        <v>371</v>
      </c>
      <c r="I47" s="5" t="s">
        <v>371</v>
      </c>
      <c r="J47" s="5" t="s">
        <v>371</v>
      </c>
      <c r="K47" s="5" t="s">
        <v>371</v>
      </c>
      <c r="L47" s="5" t="s">
        <v>371</v>
      </c>
      <c r="M47" s="5" t="s">
        <v>371</v>
      </c>
      <c r="N47" s="38">
        <v>629.29999999999995</v>
      </c>
      <c r="O47" s="38">
        <v>169.8</v>
      </c>
      <c r="P47" s="4">
        <f t="shared" ref="P47:P110" si="35">IF(Q47=0,0,IF(N47=0,1,IF(O47&lt;0,0,O47/N47)))</f>
        <v>0.26982361353885276</v>
      </c>
      <c r="Q47" s="11">
        <v>20</v>
      </c>
      <c r="R47" s="11">
        <v>1</v>
      </c>
      <c r="S47" s="11">
        <v>15</v>
      </c>
      <c r="T47" s="38">
        <v>46</v>
      </c>
      <c r="U47" s="38">
        <v>55</v>
      </c>
      <c r="V47" s="4">
        <f t="shared" ref="V47:V110" si="36">IF(W47=0,0,IF(T47=0,1,IF(U47&lt;0,0,U47/T47)))</f>
        <v>1.1956521739130435</v>
      </c>
      <c r="W47" s="11">
        <v>30</v>
      </c>
      <c r="X47" s="38">
        <v>5</v>
      </c>
      <c r="Y47" s="38">
        <v>4.4000000000000004</v>
      </c>
      <c r="Z47" s="4">
        <f t="shared" ref="Z47:Z110" si="37">IF(AA47=0,0,IF(X47=0,1,IF(Y47&lt;0,0,Y47/X47)))</f>
        <v>0.88000000000000012</v>
      </c>
      <c r="AA47" s="11">
        <v>20</v>
      </c>
      <c r="AB47" s="50">
        <f>(D47*E47+P47*Q47+R47*S47+V47*W47+Z47*AA47)/(E47+Q47+S47+W47+AA47)</f>
        <v>0.89332671040177225</v>
      </c>
      <c r="AC47" s="50">
        <f>IF(AB47&gt;1.2,IF((AB47-1.2)*0.1+1.2&gt;1.3,1.3,(AB47-1.2)*0.1+1.2),AB47)</f>
        <v>0.89332671040177225</v>
      </c>
      <c r="AD47" s="51">
        <v>1579</v>
      </c>
      <c r="AE47" s="38">
        <f t="shared" ref="AE47:AE110" si="38">AD47/11</f>
        <v>143.54545454545453</v>
      </c>
      <c r="AF47" s="38">
        <f t="shared" ref="AF47:AF110" si="39">ROUND(AC47*AE47,1)</f>
        <v>128.19999999999999</v>
      </c>
      <c r="AG47" s="38">
        <f t="shared" ref="AG47:AG109" si="40">AF47-AE47</f>
        <v>-15.345454545454544</v>
      </c>
      <c r="AH47" s="38">
        <v>18.7</v>
      </c>
      <c r="AI47" s="38">
        <f t="shared" ref="AI47:AI110" si="41">AF47+AH47</f>
        <v>146.89999999999998</v>
      </c>
      <c r="AJ47" s="38"/>
      <c r="AK47" s="38">
        <f t="shared" ref="AK47:AK110" si="42">IF((AI47-AJ47)&gt;0,ROUND(AI47-AJ47,1),0)</f>
        <v>146.9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0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10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10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10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10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10"/>
      <c r="GJ47" s="9"/>
      <c r="GK47" s="9"/>
    </row>
    <row r="48" spans="1:193" s="2" customFormat="1" ht="16.95" customHeight="1">
      <c r="A48" s="14" t="s">
        <v>48</v>
      </c>
      <c r="B48" s="38">
        <v>4674</v>
      </c>
      <c r="C48" s="38">
        <v>5383</v>
      </c>
      <c r="D48" s="4">
        <f t="shared" si="34"/>
        <v>1.1516902011125374</v>
      </c>
      <c r="E48" s="11">
        <v>10</v>
      </c>
      <c r="F48" s="5" t="s">
        <v>371</v>
      </c>
      <c r="G48" s="5" t="s">
        <v>371</v>
      </c>
      <c r="H48" s="5" t="s">
        <v>371</v>
      </c>
      <c r="I48" s="5" t="s">
        <v>371</v>
      </c>
      <c r="J48" s="5" t="s">
        <v>371</v>
      </c>
      <c r="K48" s="5" t="s">
        <v>371</v>
      </c>
      <c r="L48" s="5" t="s">
        <v>371</v>
      </c>
      <c r="M48" s="5" t="s">
        <v>371</v>
      </c>
      <c r="N48" s="38">
        <v>1178.5999999999999</v>
      </c>
      <c r="O48" s="38">
        <v>937.7</v>
      </c>
      <c r="P48" s="4">
        <f t="shared" si="35"/>
        <v>0.79560495503139328</v>
      </c>
      <c r="Q48" s="11">
        <v>20</v>
      </c>
      <c r="R48" s="11">
        <v>1</v>
      </c>
      <c r="S48" s="11">
        <v>15</v>
      </c>
      <c r="T48" s="38">
        <v>90</v>
      </c>
      <c r="U48" s="38">
        <v>90</v>
      </c>
      <c r="V48" s="4">
        <f t="shared" si="36"/>
        <v>1</v>
      </c>
      <c r="W48" s="11">
        <v>25</v>
      </c>
      <c r="X48" s="38">
        <v>10</v>
      </c>
      <c r="Y48" s="38">
        <v>10.1</v>
      </c>
      <c r="Z48" s="4">
        <f t="shared" si="37"/>
        <v>1.01</v>
      </c>
      <c r="AA48" s="11">
        <v>25</v>
      </c>
      <c r="AB48" s="50">
        <f t="shared" ref="AB48:AB111" si="43">(D48*E48+P48*Q48+R48*S48+V48*W48+Z48*AA48)/(E48+Q48+S48+W48+AA48)</f>
        <v>0.97556843275529725</v>
      </c>
      <c r="AC48" s="50">
        <f t="shared" ref="AC48:AC111" si="44">IF(AB48&gt;1.2,IF((AB48-1.2)*0.1+1.2&gt;1.3,1.3,(AB48-1.2)*0.1+1.2),AB48)</f>
        <v>0.97556843275529725</v>
      </c>
      <c r="AD48" s="51">
        <v>3726</v>
      </c>
      <c r="AE48" s="38">
        <f t="shared" si="38"/>
        <v>338.72727272727275</v>
      </c>
      <c r="AF48" s="38">
        <f t="shared" si="39"/>
        <v>330.5</v>
      </c>
      <c r="AG48" s="38">
        <f t="shared" si="40"/>
        <v>-8.2272727272727479</v>
      </c>
      <c r="AH48" s="38">
        <v>1.6</v>
      </c>
      <c r="AI48" s="38">
        <f t="shared" si="41"/>
        <v>332.1</v>
      </c>
      <c r="AJ48" s="38"/>
      <c r="AK48" s="38">
        <f t="shared" si="42"/>
        <v>332.1</v>
      </c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0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10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10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10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10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10"/>
      <c r="GJ48" s="9"/>
      <c r="GK48" s="9"/>
    </row>
    <row r="49" spans="1:193" s="2" customFormat="1" ht="16.95" customHeight="1">
      <c r="A49" s="14" t="s">
        <v>49</v>
      </c>
      <c r="B49" s="38">
        <v>600</v>
      </c>
      <c r="C49" s="38">
        <v>705</v>
      </c>
      <c r="D49" s="4">
        <f t="shared" si="34"/>
        <v>1.175</v>
      </c>
      <c r="E49" s="11">
        <v>10</v>
      </c>
      <c r="F49" s="5" t="s">
        <v>371</v>
      </c>
      <c r="G49" s="5" t="s">
        <v>371</v>
      </c>
      <c r="H49" s="5" t="s">
        <v>371</v>
      </c>
      <c r="I49" s="5" t="s">
        <v>371</v>
      </c>
      <c r="J49" s="5" t="s">
        <v>371</v>
      </c>
      <c r="K49" s="5" t="s">
        <v>371</v>
      </c>
      <c r="L49" s="5" t="s">
        <v>371</v>
      </c>
      <c r="M49" s="5" t="s">
        <v>371</v>
      </c>
      <c r="N49" s="38">
        <v>305.8</v>
      </c>
      <c r="O49" s="38">
        <v>92.7</v>
      </c>
      <c r="P49" s="4">
        <f t="shared" si="35"/>
        <v>0.30313930673642903</v>
      </c>
      <c r="Q49" s="11">
        <v>20</v>
      </c>
      <c r="R49" s="11">
        <v>1</v>
      </c>
      <c r="S49" s="11">
        <v>15</v>
      </c>
      <c r="T49" s="38">
        <v>40</v>
      </c>
      <c r="U49" s="38">
        <v>44</v>
      </c>
      <c r="V49" s="4">
        <f t="shared" si="36"/>
        <v>1.1000000000000001</v>
      </c>
      <c r="W49" s="11">
        <v>30</v>
      </c>
      <c r="X49" s="38">
        <v>4</v>
      </c>
      <c r="Y49" s="38">
        <v>4.5</v>
      </c>
      <c r="Z49" s="4">
        <f t="shared" si="37"/>
        <v>1.125</v>
      </c>
      <c r="AA49" s="11">
        <v>20</v>
      </c>
      <c r="AB49" s="50">
        <f t="shared" si="43"/>
        <v>0.92960827510240618</v>
      </c>
      <c r="AC49" s="50">
        <f t="shared" si="44"/>
        <v>0.92960827510240618</v>
      </c>
      <c r="AD49" s="51">
        <v>2008</v>
      </c>
      <c r="AE49" s="38">
        <f t="shared" si="38"/>
        <v>182.54545454545453</v>
      </c>
      <c r="AF49" s="38">
        <f t="shared" si="39"/>
        <v>169.7</v>
      </c>
      <c r="AG49" s="38">
        <f t="shared" si="40"/>
        <v>-12.845454545454544</v>
      </c>
      <c r="AH49" s="38">
        <v>8.3000000000000007</v>
      </c>
      <c r="AI49" s="38">
        <f t="shared" si="41"/>
        <v>178</v>
      </c>
      <c r="AJ49" s="38"/>
      <c r="AK49" s="38">
        <f t="shared" si="42"/>
        <v>178</v>
      </c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0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10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10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10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10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10"/>
      <c r="GJ49" s="9"/>
      <c r="GK49" s="9"/>
    </row>
    <row r="50" spans="1:193" s="2" customFormat="1" ht="16.95" customHeight="1">
      <c r="A50" s="14" t="s">
        <v>50</v>
      </c>
      <c r="B50" s="38">
        <v>0</v>
      </c>
      <c r="C50" s="38">
        <v>0</v>
      </c>
      <c r="D50" s="4">
        <f t="shared" si="34"/>
        <v>0</v>
      </c>
      <c r="E50" s="11">
        <v>0</v>
      </c>
      <c r="F50" s="5" t="s">
        <v>371</v>
      </c>
      <c r="G50" s="5" t="s">
        <v>371</v>
      </c>
      <c r="H50" s="5" t="s">
        <v>371</v>
      </c>
      <c r="I50" s="5" t="s">
        <v>371</v>
      </c>
      <c r="J50" s="5" t="s">
        <v>371</v>
      </c>
      <c r="K50" s="5" t="s">
        <v>371</v>
      </c>
      <c r="L50" s="5" t="s">
        <v>371</v>
      </c>
      <c r="M50" s="5" t="s">
        <v>371</v>
      </c>
      <c r="N50" s="38">
        <v>230.3</v>
      </c>
      <c r="O50" s="38">
        <v>96.4</v>
      </c>
      <c r="P50" s="4">
        <f t="shared" si="35"/>
        <v>0.41858445505861919</v>
      </c>
      <c r="Q50" s="11">
        <v>20</v>
      </c>
      <c r="R50" s="11">
        <v>1</v>
      </c>
      <c r="S50" s="11">
        <v>15</v>
      </c>
      <c r="T50" s="38">
        <v>27</v>
      </c>
      <c r="U50" s="38">
        <v>28.9</v>
      </c>
      <c r="V50" s="4">
        <f t="shared" si="36"/>
        <v>1.0703703703703704</v>
      </c>
      <c r="W50" s="11">
        <v>25</v>
      </c>
      <c r="X50" s="38">
        <v>3</v>
      </c>
      <c r="Y50" s="38">
        <v>3.4</v>
      </c>
      <c r="Z50" s="4">
        <f t="shared" si="37"/>
        <v>1.1333333333333333</v>
      </c>
      <c r="AA50" s="11">
        <v>25</v>
      </c>
      <c r="AB50" s="50">
        <f t="shared" si="43"/>
        <v>0.92310919639723499</v>
      </c>
      <c r="AC50" s="50">
        <f t="shared" si="44"/>
        <v>0.92310919639723499</v>
      </c>
      <c r="AD50" s="51">
        <v>1109</v>
      </c>
      <c r="AE50" s="38">
        <f t="shared" si="38"/>
        <v>100.81818181818181</v>
      </c>
      <c r="AF50" s="38">
        <f t="shared" si="39"/>
        <v>93.1</v>
      </c>
      <c r="AG50" s="38">
        <f t="shared" si="40"/>
        <v>-7.7181818181818187</v>
      </c>
      <c r="AH50" s="38">
        <v>9.1999999999999993</v>
      </c>
      <c r="AI50" s="38">
        <f t="shared" si="41"/>
        <v>102.3</v>
      </c>
      <c r="AJ50" s="38"/>
      <c r="AK50" s="38">
        <f t="shared" si="42"/>
        <v>102.3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0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10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10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10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10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10"/>
      <c r="GJ50" s="9"/>
      <c r="GK50" s="9"/>
    </row>
    <row r="51" spans="1:193" s="2" customFormat="1" ht="16.95" customHeight="1">
      <c r="A51" s="14" t="s">
        <v>51</v>
      </c>
      <c r="B51" s="38">
        <v>146</v>
      </c>
      <c r="C51" s="38">
        <v>146</v>
      </c>
      <c r="D51" s="4">
        <f t="shared" si="34"/>
        <v>1</v>
      </c>
      <c r="E51" s="11">
        <v>10</v>
      </c>
      <c r="F51" s="5" t="s">
        <v>371</v>
      </c>
      <c r="G51" s="5" t="s">
        <v>371</v>
      </c>
      <c r="H51" s="5" t="s">
        <v>371</v>
      </c>
      <c r="I51" s="5" t="s">
        <v>371</v>
      </c>
      <c r="J51" s="5" t="s">
        <v>371</v>
      </c>
      <c r="K51" s="5" t="s">
        <v>371</v>
      </c>
      <c r="L51" s="5" t="s">
        <v>371</v>
      </c>
      <c r="M51" s="5" t="s">
        <v>371</v>
      </c>
      <c r="N51" s="38">
        <v>436.6</v>
      </c>
      <c r="O51" s="38">
        <v>138.19999999999999</v>
      </c>
      <c r="P51" s="4">
        <f t="shared" si="35"/>
        <v>0.31653687585890972</v>
      </c>
      <c r="Q51" s="11">
        <v>20</v>
      </c>
      <c r="R51" s="11">
        <v>1</v>
      </c>
      <c r="S51" s="11">
        <v>15</v>
      </c>
      <c r="T51" s="38">
        <v>59</v>
      </c>
      <c r="U51" s="38">
        <v>68.900000000000006</v>
      </c>
      <c r="V51" s="4">
        <f t="shared" si="36"/>
        <v>1.1677966101694917</v>
      </c>
      <c r="W51" s="11">
        <v>30</v>
      </c>
      <c r="X51" s="38">
        <v>7</v>
      </c>
      <c r="Y51" s="38">
        <v>7.2</v>
      </c>
      <c r="Z51" s="4">
        <f t="shared" si="37"/>
        <v>1.0285714285714287</v>
      </c>
      <c r="AA51" s="11">
        <v>20</v>
      </c>
      <c r="AB51" s="50">
        <f t="shared" si="43"/>
        <v>0.9151164673020159</v>
      </c>
      <c r="AC51" s="50">
        <f t="shared" si="44"/>
        <v>0.9151164673020159</v>
      </c>
      <c r="AD51" s="51">
        <v>2516</v>
      </c>
      <c r="AE51" s="38">
        <f t="shared" si="38"/>
        <v>228.72727272727272</v>
      </c>
      <c r="AF51" s="38">
        <f t="shared" si="39"/>
        <v>209.3</v>
      </c>
      <c r="AG51" s="38">
        <f t="shared" si="40"/>
        <v>-19.427272727272708</v>
      </c>
      <c r="AH51" s="38">
        <v>5.6</v>
      </c>
      <c r="AI51" s="38">
        <f t="shared" si="41"/>
        <v>214.9</v>
      </c>
      <c r="AJ51" s="38"/>
      <c r="AK51" s="38">
        <f t="shared" si="42"/>
        <v>214.9</v>
      </c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0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10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10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10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10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10"/>
      <c r="GJ51" s="9"/>
      <c r="GK51" s="9"/>
    </row>
    <row r="52" spans="1:193" s="2" customFormat="1" ht="16.95" customHeight="1">
      <c r="A52" s="19" t="s">
        <v>52</v>
      </c>
      <c r="B52" s="7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10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10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10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10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10"/>
      <c r="GJ52" s="9"/>
      <c r="GK52" s="9"/>
    </row>
    <row r="53" spans="1:193" s="2" customFormat="1" ht="16.95" customHeight="1">
      <c r="A53" s="14" t="s">
        <v>53</v>
      </c>
      <c r="B53" s="38">
        <v>464542</v>
      </c>
      <c r="C53" s="38">
        <v>408278.9</v>
      </c>
      <c r="D53" s="4">
        <f t="shared" si="34"/>
        <v>0.87888479405522002</v>
      </c>
      <c r="E53" s="11">
        <v>10</v>
      </c>
      <c r="F53" s="5" t="s">
        <v>371</v>
      </c>
      <c r="G53" s="5" t="s">
        <v>371</v>
      </c>
      <c r="H53" s="5" t="s">
        <v>371</v>
      </c>
      <c r="I53" s="5" t="s">
        <v>371</v>
      </c>
      <c r="J53" s="5" t="s">
        <v>371</v>
      </c>
      <c r="K53" s="5" t="s">
        <v>371</v>
      </c>
      <c r="L53" s="5" t="s">
        <v>371</v>
      </c>
      <c r="M53" s="5" t="s">
        <v>371</v>
      </c>
      <c r="N53" s="38">
        <v>3614.1</v>
      </c>
      <c r="O53" s="38">
        <v>4215.6000000000004</v>
      </c>
      <c r="P53" s="4">
        <f t="shared" si="35"/>
        <v>1.166431476716195</v>
      </c>
      <c r="Q53" s="11">
        <v>20</v>
      </c>
      <c r="R53" s="11">
        <v>1</v>
      </c>
      <c r="S53" s="11">
        <v>15</v>
      </c>
      <c r="T53" s="38">
        <v>1</v>
      </c>
      <c r="U53" s="38">
        <v>1.1000000000000001</v>
      </c>
      <c r="V53" s="4">
        <f t="shared" si="36"/>
        <v>1.1000000000000001</v>
      </c>
      <c r="W53" s="11">
        <v>25</v>
      </c>
      <c r="X53" s="38">
        <v>5</v>
      </c>
      <c r="Y53" s="38">
        <v>5.0999999999999996</v>
      </c>
      <c r="Z53" s="4">
        <f t="shared" si="37"/>
        <v>1.02</v>
      </c>
      <c r="AA53" s="11">
        <v>25</v>
      </c>
      <c r="AB53" s="50">
        <f t="shared" si="43"/>
        <v>1.0538681839460642</v>
      </c>
      <c r="AC53" s="50">
        <f t="shared" si="44"/>
        <v>1.0538681839460642</v>
      </c>
      <c r="AD53" s="51">
        <v>3094</v>
      </c>
      <c r="AE53" s="38">
        <f t="shared" si="38"/>
        <v>281.27272727272725</v>
      </c>
      <c r="AF53" s="38">
        <f t="shared" si="39"/>
        <v>296.39999999999998</v>
      </c>
      <c r="AG53" s="38">
        <f>AF53-AE53</f>
        <v>15.127272727272725</v>
      </c>
      <c r="AH53" s="38">
        <v>32.6</v>
      </c>
      <c r="AI53" s="38">
        <f t="shared" si="41"/>
        <v>329</v>
      </c>
      <c r="AJ53" s="38"/>
      <c r="AK53" s="38">
        <f t="shared" si="42"/>
        <v>329</v>
      </c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0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10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10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10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10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10"/>
      <c r="GJ53" s="9"/>
      <c r="GK53" s="9"/>
    </row>
    <row r="54" spans="1:193" s="2" customFormat="1" ht="16.95" customHeight="1">
      <c r="A54" s="14" t="s">
        <v>54</v>
      </c>
      <c r="B54" s="38">
        <v>0</v>
      </c>
      <c r="C54" s="38">
        <v>20</v>
      </c>
      <c r="D54" s="4">
        <f t="shared" si="34"/>
        <v>0</v>
      </c>
      <c r="E54" s="11">
        <v>0</v>
      </c>
      <c r="F54" s="5" t="s">
        <v>371</v>
      </c>
      <c r="G54" s="5" t="s">
        <v>371</v>
      </c>
      <c r="H54" s="5" t="s">
        <v>371</v>
      </c>
      <c r="I54" s="5" t="s">
        <v>371</v>
      </c>
      <c r="J54" s="5" t="s">
        <v>371</v>
      </c>
      <c r="K54" s="5" t="s">
        <v>371</v>
      </c>
      <c r="L54" s="5" t="s">
        <v>371</v>
      </c>
      <c r="M54" s="5" t="s">
        <v>371</v>
      </c>
      <c r="N54" s="38">
        <v>146.80000000000001</v>
      </c>
      <c r="O54" s="38">
        <v>26.3</v>
      </c>
      <c r="P54" s="4">
        <f t="shared" si="35"/>
        <v>0.17915531335149862</v>
      </c>
      <c r="Q54" s="11">
        <v>20</v>
      </c>
      <c r="R54" s="11">
        <v>1</v>
      </c>
      <c r="S54" s="11">
        <v>15</v>
      </c>
      <c r="T54" s="38">
        <v>0</v>
      </c>
      <c r="U54" s="38">
        <v>0</v>
      </c>
      <c r="V54" s="4">
        <f t="shared" si="36"/>
        <v>1</v>
      </c>
      <c r="W54" s="11">
        <v>20</v>
      </c>
      <c r="X54" s="38">
        <v>5.3</v>
      </c>
      <c r="Y54" s="38">
        <v>5.3</v>
      </c>
      <c r="Z54" s="4">
        <f t="shared" si="37"/>
        <v>1</v>
      </c>
      <c r="AA54" s="11">
        <v>30</v>
      </c>
      <c r="AB54" s="50">
        <f t="shared" si="43"/>
        <v>0.80686007372976443</v>
      </c>
      <c r="AC54" s="50">
        <f t="shared" si="44"/>
        <v>0.80686007372976443</v>
      </c>
      <c r="AD54" s="51">
        <v>888</v>
      </c>
      <c r="AE54" s="38">
        <f t="shared" si="38"/>
        <v>80.727272727272734</v>
      </c>
      <c r="AF54" s="38">
        <f t="shared" si="39"/>
        <v>65.099999999999994</v>
      </c>
      <c r="AG54" s="38">
        <f t="shared" si="40"/>
        <v>-15.627272727272739</v>
      </c>
      <c r="AH54" s="38">
        <v>3.7</v>
      </c>
      <c r="AI54" s="38">
        <f t="shared" si="41"/>
        <v>68.8</v>
      </c>
      <c r="AJ54" s="38"/>
      <c r="AK54" s="38">
        <f t="shared" si="42"/>
        <v>68.8</v>
      </c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0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10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10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10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10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10"/>
      <c r="GJ54" s="9"/>
      <c r="GK54" s="9"/>
    </row>
    <row r="55" spans="1:193" s="2" customFormat="1" ht="16.95" customHeight="1">
      <c r="A55" s="14" t="s">
        <v>55</v>
      </c>
      <c r="B55" s="38">
        <v>0</v>
      </c>
      <c r="C55" s="38">
        <v>0</v>
      </c>
      <c r="D55" s="4">
        <f t="shared" si="34"/>
        <v>0</v>
      </c>
      <c r="E55" s="11">
        <v>0</v>
      </c>
      <c r="F55" s="5" t="s">
        <v>371</v>
      </c>
      <c r="G55" s="5" t="s">
        <v>371</v>
      </c>
      <c r="H55" s="5" t="s">
        <v>371</v>
      </c>
      <c r="I55" s="5" t="s">
        <v>371</v>
      </c>
      <c r="J55" s="5" t="s">
        <v>371</v>
      </c>
      <c r="K55" s="5" t="s">
        <v>371</v>
      </c>
      <c r="L55" s="5" t="s">
        <v>371</v>
      </c>
      <c r="M55" s="5" t="s">
        <v>371</v>
      </c>
      <c r="N55" s="38">
        <v>490.2</v>
      </c>
      <c r="O55" s="38">
        <v>165.6</v>
      </c>
      <c r="P55" s="4">
        <f t="shared" si="35"/>
        <v>0.33782129742962058</v>
      </c>
      <c r="Q55" s="11">
        <v>20</v>
      </c>
      <c r="R55" s="11">
        <v>1</v>
      </c>
      <c r="S55" s="11">
        <v>15</v>
      </c>
      <c r="T55" s="38">
        <v>0</v>
      </c>
      <c r="U55" s="38">
        <v>0</v>
      </c>
      <c r="V55" s="4">
        <f t="shared" si="36"/>
        <v>1</v>
      </c>
      <c r="W55" s="11">
        <v>30</v>
      </c>
      <c r="X55" s="38">
        <v>2.5</v>
      </c>
      <c r="Y55" s="38">
        <v>2.6</v>
      </c>
      <c r="Z55" s="4">
        <f t="shared" si="37"/>
        <v>1.04</v>
      </c>
      <c r="AA55" s="11">
        <v>20</v>
      </c>
      <c r="AB55" s="50">
        <f t="shared" si="43"/>
        <v>0.85360501115991061</v>
      </c>
      <c r="AC55" s="50">
        <f t="shared" si="44"/>
        <v>0.85360501115991061</v>
      </c>
      <c r="AD55" s="51">
        <v>2389</v>
      </c>
      <c r="AE55" s="38">
        <f t="shared" si="38"/>
        <v>217.18181818181819</v>
      </c>
      <c r="AF55" s="38">
        <f t="shared" si="39"/>
        <v>185.4</v>
      </c>
      <c r="AG55" s="38">
        <f t="shared" si="40"/>
        <v>-31.781818181818181</v>
      </c>
      <c r="AH55" s="38">
        <v>10.6</v>
      </c>
      <c r="AI55" s="38">
        <f t="shared" si="41"/>
        <v>196</v>
      </c>
      <c r="AJ55" s="38"/>
      <c r="AK55" s="38">
        <f t="shared" si="42"/>
        <v>196</v>
      </c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0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10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10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10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10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10"/>
      <c r="GJ55" s="9"/>
      <c r="GK55" s="9"/>
    </row>
    <row r="56" spans="1:193" s="2" customFormat="1" ht="16.95" customHeight="1">
      <c r="A56" s="14" t="s">
        <v>56</v>
      </c>
      <c r="B56" s="38">
        <v>0</v>
      </c>
      <c r="C56" s="38">
        <v>0</v>
      </c>
      <c r="D56" s="4">
        <f t="shared" si="34"/>
        <v>0</v>
      </c>
      <c r="E56" s="11">
        <v>0</v>
      </c>
      <c r="F56" s="5" t="s">
        <v>371</v>
      </c>
      <c r="G56" s="5" t="s">
        <v>371</v>
      </c>
      <c r="H56" s="5" t="s">
        <v>371</v>
      </c>
      <c r="I56" s="5" t="s">
        <v>371</v>
      </c>
      <c r="J56" s="5" t="s">
        <v>371</v>
      </c>
      <c r="K56" s="5" t="s">
        <v>371</v>
      </c>
      <c r="L56" s="5" t="s">
        <v>371</v>
      </c>
      <c r="M56" s="5" t="s">
        <v>371</v>
      </c>
      <c r="N56" s="38">
        <v>140.19999999999999</v>
      </c>
      <c r="O56" s="38">
        <v>33.5</v>
      </c>
      <c r="P56" s="4">
        <f t="shared" si="35"/>
        <v>0.23894436519258205</v>
      </c>
      <c r="Q56" s="11">
        <v>20</v>
      </c>
      <c r="R56" s="11">
        <v>1</v>
      </c>
      <c r="S56" s="11">
        <v>15</v>
      </c>
      <c r="T56" s="38">
        <v>150</v>
      </c>
      <c r="U56" s="38">
        <v>126.3</v>
      </c>
      <c r="V56" s="4">
        <f t="shared" si="36"/>
        <v>0.84199999999999997</v>
      </c>
      <c r="W56" s="11">
        <v>25</v>
      </c>
      <c r="X56" s="38">
        <v>7</v>
      </c>
      <c r="Y56" s="38">
        <v>7.2</v>
      </c>
      <c r="Z56" s="4">
        <f t="shared" si="37"/>
        <v>1.0285714285714287</v>
      </c>
      <c r="AA56" s="11">
        <v>25</v>
      </c>
      <c r="AB56" s="50">
        <f t="shared" si="43"/>
        <v>0.78286085903691016</v>
      </c>
      <c r="AC56" s="50">
        <f t="shared" si="44"/>
        <v>0.78286085903691016</v>
      </c>
      <c r="AD56" s="51">
        <v>1711</v>
      </c>
      <c r="AE56" s="38">
        <f t="shared" si="38"/>
        <v>155.54545454545453</v>
      </c>
      <c r="AF56" s="38">
        <f t="shared" si="39"/>
        <v>121.8</v>
      </c>
      <c r="AG56" s="38">
        <f t="shared" si="40"/>
        <v>-33.745454545454535</v>
      </c>
      <c r="AH56" s="38">
        <v>-9</v>
      </c>
      <c r="AI56" s="38">
        <f t="shared" si="41"/>
        <v>112.8</v>
      </c>
      <c r="AJ56" s="38"/>
      <c r="AK56" s="38">
        <f t="shared" si="42"/>
        <v>112.8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10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10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10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10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10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10"/>
      <c r="GJ56" s="9"/>
      <c r="GK56" s="9"/>
    </row>
    <row r="57" spans="1:193" s="2" customFormat="1" ht="16.95" customHeight="1">
      <c r="A57" s="14" t="s">
        <v>57</v>
      </c>
      <c r="B57" s="38">
        <v>0</v>
      </c>
      <c r="C57" s="38">
        <v>0</v>
      </c>
      <c r="D57" s="4">
        <f t="shared" si="34"/>
        <v>0</v>
      </c>
      <c r="E57" s="11">
        <v>0</v>
      </c>
      <c r="F57" s="5" t="s">
        <v>371</v>
      </c>
      <c r="G57" s="5" t="s">
        <v>371</v>
      </c>
      <c r="H57" s="5" t="s">
        <v>371</v>
      </c>
      <c r="I57" s="5" t="s">
        <v>371</v>
      </c>
      <c r="J57" s="5" t="s">
        <v>371</v>
      </c>
      <c r="K57" s="5" t="s">
        <v>371</v>
      </c>
      <c r="L57" s="5" t="s">
        <v>371</v>
      </c>
      <c r="M57" s="5" t="s">
        <v>371</v>
      </c>
      <c r="N57" s="38">
        <v>159.69999999999999</v>
      </c>
      <c r="O57" s="38">
        <v>54.9</v>
      </c>
      <c r="P57" s="4">
        <f t="shared" si="35"/>
        <v>0.34376956793988728</v>
      </c>
      <c r="Q57" s="11">
        <v>20</v>
      </c>
      <c r="R57" s="11">
        <v>1</v>
      </c>
      <c r="S57" s="11">
        <v>15</v>
      </c>
      <c r="T57" s="38">
        <v>291</v>
      </c>
      <c r="U57" s="38">
        <v>350.8</v>
      </c>
      <c r="V57" s="4">
        <f t="shared" si="36"/>
        <v>1.2054982817869415</v>
      </c>
      <c r="W57" s="11">
        <v>30</v>
      </c>
      <c r="X57" s="38">
        <v>8</v>
      </c>
      <c r="Y57" s="38">
        <v>8.1999999999999993</v>
      </c>
      <c r="Z57" s="4">
        <f t="shared" si="37"/>
        <v>1.0249999999999999</v>
      </c>
      <c r="AA57" s="11">
        <v>20</v>
      </c>
      <c r="AB57" s="50">
        <f t="shared" si="43"/>
        <v>0.92400399779301168</v>
      </c>
      <c r="AC57" s="50">
        <f t="shared" si="44"/>
        <v>0.92400399779301168</v>
      </c>
      <c r="AD57" s="51">
        <v>1032</v>
      </c>
      <c r="AE57" s="38">
        <f t="shared" si="38"/>
        <v>93.818181818181813</v>
      </c>
      <c r="AF57" s="38">
        <f t="shared" si="39"/>
        <v>86.7</v>
      </c>
      <c r="AG57" s="38">
        <f t="shared" si="40"/>
        <v>-7.1181818181818102</v>
      </c>
      <c r="AH57" s="38">
        <v>1.5</v>
      </c>
      <c r="AI57" s="38">
        <f t="shared" si="41"/>
        <v>88.2</v>
      </c>
      <c r="AJ57" s="38">
        <v>-3.8</v>
      </c>
      <c r="AK57" s="38">
        <f t="shared" si="42"/>
        <v>92</v>
      </c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0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10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10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10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10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10"/>
      <c r="GJ57" s="9"/>
      <c r="GK57" s="9"/>
    </row>
    <row r="58" spans="1:193" s="2" customFormat="1" ht="16.95" customHeight="1">
      <c r="A58" s="14" t="s">
        <v>58</v>
      </c>
      <c r="B58" s="38">
        <v>0</v>
      </c>
      <c r="C58" s="38">
        <v>0</v>
      </c>
      <c r="D58" s="4">
        <f t="shared" si="34"/>
        <v>0</v>
      </c>
      <c r="E58" s="11">
        <v>0</v>
      </c>
      <c r="F58" s="5" t="s">
        <v>371</v>
      </c>
      <c r="G58" s="5" t="s">
        <v>371</v>
      </c>
      <c r="H58" s="5" t="s">
        <v>371</v>
      </c>
      <c r="I58" s="5" t="s">
        <v>371</v>
      </c>
      <c r="J58" s="5" t="s">
        <v>371</v>
      </c>
      <c r="K58" s="5" t="s">
        <v>371</v>
      </c>
      <c r="L58" s="5" t="s">
        <v>371</v>
      </c>
      <c r="M58" s="5" t="s">
        <v>371</v>
      </c>
      <c r="N58" s="38">
        <v>56.5</v>
      </c>
      <c r="O58" s="38">
        <v>19.7</v>
      </c>
      <c r="P58" s="4">
        <f t="shared" si="35"/>
        <v>0.34867256637168142</v>
      </c>
      <c r="Q58" s="11">
        <v>20</v>
      </c>
      <c r="R58" s="11">
        <v>1</v>
      </c>
      <c r="S58" s="11">
        <v>15</v>
      </c>
      <c r="T58" s="38">
        <v>0</v>
      </c>
      <c r="U58" s="38">
        <v>0</v>
      </c>
      <c r="V58" s="4">
        <f t="shared" si="36"/>
        <v>1</v>
      </c>
      <c r="W58" s="11">
        <v>30</v>
      </c>
      <c r="X58" s="38">
        <v>0.5</v>
      </c>
      <c r="Y58" s="38">
        <v>0.5</v>
      </c>
      <c r="Z58" s="4">
        <f t="shared" si="37"/>
        <v>1</v>
      </c>
      <c r="AA58" s="11">
        <v>20</v>
      </c>
      <c r="AB58" s="50">
        <f t="shared" si="43"/>
        <v>0.8467464862051014</v>
      </c>
      <c r="AC58" s="50">
        <f t="shared" si="44"/>
        <v>0.8467464862051014</v>
      </c>
      <c r="AD58" s="51">
        <v>354</v>
      </c>
      <c r="AE58" s="38">
        <f t="shared" si="38"/>
        <v>32.18181818181818</v>
      </c>
      <c r="AF58" s="38">
        <f t="shared" si="39"/>
        <v>27.2</v>
      </c>
      <c r="AG58" s="38">
        <f t="shared" si="40"/>
        <v>-4.9818181818181806</v>
      </c>
      <c r="AH58" s="38">
        <v>-2</v>
      </c>
      <c r="AI58" s="38">
        <f t="shared" si="41"/>
        <v>25.2</v>
      </c>
      <c r="AJ58" s="38"/>
      <c r="AK58" s="38">
        <f t="shared" si="42"/>
        <v>25.2</v>
      </c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0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10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10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10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10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10"/>
      <c r="GJ58" s="9"/>
      <c r="GK58" s="9"/>
    </row>
    <row r="59" spans="1:193" s="2" customFormat="1" ht="16.95" customHeight="1">
      <c r="A59" s="14" t="s">
        <v>59</v>
      </c>
      <c r="B59" s="38">
        <v>0</v>
      </c>
      <c r="C59" s="38">
        <v>0</v>
      </c>
      <c r="D59" s="4">
        <f t="shared" si="34"/>
        <v>0</v>
      </c>
      <c r="E59" s="11">
        <v>0</v>
      </c>
      <c r="F59" s="5" t="s">
        <v>371</v>
      </c>
      <c r="G59" s="5" t="s">
        <v>371</v>
      </c>
      <c r="H59" s="5" t="s">
        <v>371</v>
      </c>
      <c r="I59" s="5" t="s">
        <v>371</v>
      </c>
      <c r="J59" s="5" t="s">
        <v>371</v>
      </c>
      <c r="K59" s="5" t="s">
        <v>371</v>
      </c>
      <c r="L59" s="5" t="s">
        <v>371</v>
      </c>
      <c r="M59" s="5" t="s">
        <v>371</v>
      </c>
      <c r="N59" s="38">
        <v>305.60000000000002</v>
      </c>
      <c r="O59" s="38">
        <v>19.8</v>
      </c>
      <c r="P59" s="4">
        <f t="shared" si="35"/>
        <v>6.4790575916230358E-2</v>
      </c>
      <c r="Q59" s="11">
        <v>20</v>
      </c>
      <c r="R59" s="11">
        <v>1</v>
      </c>
      <c r="S59" s="11">
        <v>15</v>
      </c>
      <c r="T59" s="38">
        <v>12</v>
      </c>
      <c r="U59" s="38">
        <v>8.1</v>
      </c>
      <c r="V59" s="4">
        <f t="shared" si="36"/>
        <v>0.67499999999999993</v>
      </c>
      <c r="W59" s="11">
        <v>30</v>
      </c>
      <c r="X59" s="38">
        <v>1.7</v>
      </c>
      <c r="Y59" s="38">
        <v>1.8</v>
      </c>
      <c r="Z59" s="4">
        <f t="shared" si="37"/>
        <v>1.0588235294117647</v>
      </c>
      <c r="AA59" s="11">
        <v>20</v>
      </c>
      <c r="AB59" s="50">
        <f t="shared" si="43"/>
        <v>0.67908567184188118</v>
      </c>
      <c r="AC59" s="50">
        <f t="shared" si="44"/>
        <v>0.67908567184188118</v>
      </c>
      <c r="AD59" s="51">
        <v>1326</v>
      </c>
      <c r="AE59" s="38">
        <f t="shared" si="38"/>
        <v>120.54545454545455</v>
      </c>
      <c r="AF59" s="38">
        <f t="shared" si="39"/>
        <v>81.900000000000006</v>
      </c>
      <c r="AG59" s="38">
        <f t="shared" si="40"/>
        <v>-38.645454545454541</v>
      </c>
      <c r="AH59" s="38">
        <v>9.5</v>
      </c>
      <c r="AI59" s="38">
        <f t="shared" si="41"/>
        <v>91.4</v>
      </c>
      <c r="AJ59" s="38"/>
      <c r="AK59" s="38">
        <f t="shared" si="42"/>
        <v>91.4</v>
      </c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0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10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10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10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10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10"/>
      <c r="GJ59" s="9"/>
      <c r="GK59" s="9"/>
    </row>
    <row r="60" spans="1:193" s="2" customFormat="1" ht="16.95" customHeight="1">
      <c r="A60" s="14" t="s">
        <v>60</v>
      </c>
      <c r="B60" s="38">
        <v>0</v>
      </c>
      <c r="C60" s="38">
        <v>0</v>
      </c>
      <c r="D60" s="4">
        <f t="shared" si="34"/>
        <v>0</v>
      </c>
      <c r="E60" s="11">
        <v>0</v>
      </c>
      <c r="F60" s="5" t="s">
        <v>371</v>
      </c>
      <c r="G60" s="5" t="s">
        <v>371</v>
      </c>
      <c r="H60" s="5" t="s">
        <v>371</v>
      </c>
      <c r="I60" s="5" t="s">
        <v>371</v>
      </c>
      <c r="J60" s="5" t="s">
        <v>371</v>
      </c>
      <c r="K60" s="5" t="s">
        <v>371</v>
      </c>
      <c r="L60" s="5" t="s">
        <v>371</v>
      </c>
      <c r="M60" s="5" t="s">
        <v>371</v>
      </c>
      <c r="N60" s="38">
        <v>275.39999999999998</v>
      </c>
      <c r="O60" s="38">
        <v>60.4</v>
      </c>
      <c r="P60" s="4">
        <f t="shared" si="35"/>
        <v>0.21931735657225854</v>
      </c>
      <c r="Q60" s="11">
        <v>20</v>
      </c>
      <c r="R60" s="11">
        <v>1</v>
      </c>
      <c r="S60" s="11">
        <v>15</v>
      </c>
      <c r="T60" s="38">
        <v>20</v>
      </c>
      <c r="U60" s="38">
        <v>20.2</v>
      </c>
      <c r="V60" s="4">
        <f t="shared" si="36"/>
        <v>1.01</v>
      </c>
      <c r="W60" s="11">
        <v>30</v>
      </c>
      <c r="X60" s="38">
        <v>2</v>
      </c>
      <c r="Y60" s="38">
        <v>2.2000000000000002</v>
      </c>
      <c r="Z60" s="4">
        <f t="shared" si="37"/>
        <v>1.1000000000000001</v>
      </c>
      <c r="AA60" s="11">
        <v>20</v>
      </c>
      <c r="AB60" s="50">
        <f t="shared" si="43"/>
        <v>0.84336878978170793</v>
      </c>
      <c r="AC60" s="50">
        <f t="shared" si="44"/>
        <v>0.84336878978170793</v>
      </c>
      <c r="AD60" s="51">
        <v>975</v>
      </c>
      <c r="AE60" s="38">
        <f t="shared" si="38"/>
        <v>88.63636363636364</v>
      </c>
      <c r="AF60" s="38">
        <f t="shared" si="39"/>
        <v>74.8</v>
      </c>
      <c r="AG60" s="38">
        <f t="shared" si="40"/>
        <v>-13.836363636363643</v>
      </c>
      <c r="AH60" s="38">
        <v>-1.7</v>
      </c>
      <c r="AI60" s="38">
        <f t="shared" si="41"/>
        <v>73.099999999999994</v>
      </c>
      <c r="AJ60" s="38"/>
      <c r="AK60" s="38">
        <f t="shared" si="42"/>
        <v>73.099999999999994</v>
      </c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0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10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10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10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10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10"/>
      <c r="GJ60" s="9"/>
      <c r="GK60" s="9"/>
    </row>
    <row r="61" spans="1:193" s="2" customFormat="1" ht="16.95" customHeight="1">
      <c r="A61" s="14" t="s">
        <v>61</v>
      </c>
      <c r="B61" s="38">
        <v>7800</v>
      </c>
      <c r="C61" s="38">
        <v>6968.5</v>
      </c>
      <c r="D61" s="4">
        <f t="shared" si="34"/>
        <v>0.89339743589743592</v>
      </c>
      <c r="E61" s="11">
        <v>10</v>
      </c>
      <c r="F61" s="5" t="s">
        <v>371</v>
      </c>
      <c r="G61" s="5" t="s">
        <v>371</v>
      </c>
      <c r="H61" s="5" t="s">
        <v>371</v>
      </c>
      <c r="I61" s="5" t="s">
        <v>371</v>
      </c>
      <c r="J61" s="5" t="s">
        <v>371</v>
      </c>
      <c r="K61" s="5" t="s">
        <v>371</v>
      </c>
      <c r="L61" s="5" t="s">
        <v>371</v>
      </c>
      <c r="M61" s="5" t="s">
        <v>371</v>
      </c>
      <c r="N61" s="38">
        <v>841.4</v>
      </c>
      <c r="O61" s="38">
        <v>1163.7</v>
      </c>
      <c r="P61" s="4">
        <f t="shared" si="35"/>
        <v>1.3830520560969812</v>
      </c>
      <c r="Q61" s="11">
        <v>20</v>
      </c>
      <c r="R61" s="11">
        <v>1</v>
      </c>
      <c r="S61" s="11">
        <v>15</v>
      </c>
      <c r="T61" s="38">
        <v>12</v>
      </c>
      <c r="U61" s="38">
        <v>17.5</v>
      </c>
      <c r="V61" s="4">
        <f t="shared" si="36"/>
        <v>1.4583333333333333</v>
      </c>
      <c r="W61" s="11">
        <v>30</v>
      </c>
      <c r="X61" s="38">
        <v>3.5</v>
      </c>
      <c r="Y61" s="38">
        <v>3.6</v>
      </c>
      <c r="Z61" s="4">
        <f t="shared" si="37"/>
        <v>1.0285714285714287</v>
      </c>
      <c r="AA61" s="11">
        <v>20</v>
      </c>
      <c r="AB61" s="50">
        <f t="shared" si="43"/>
        <v>1.2201730952878165</v>
      </c>
      <c r="AC61" s="50">
        <f t="shared" si="44"/>
        <v>1.2020173095287816</v>
      </c>
      <c r="AD61" s="51">
        <v>2197</v>
      </c>
      <c r="AE61" s="38">
        <f t="shared" si="38"/>
        <v>199.72727272727272</v>
      </c>
      <c r="AF61" s="38">
        <f t="shared" si="39"/>
        <v>240.1</v>
      </c>
      <c r="AG61" s="38">
        <f t="shared" si="40"/>
        <v>40.372727272727275</v>
      </c>
      <c r="AH61" s="38">
        <v>-2.2000000000000002</v>
      </c>
      <c r="AI61" s="38">
        <f t="shared" si="41"/>
        <v>237.9</v>
      </c>
      <c r="AJ61" s="38"/>
      <c r="AK61" s="38">
        <f t="shared" si="42"/>
        <v>237.9</v>
      </c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0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10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10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10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10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10"/>
      <c r="GJ61" s="9"/>
      <c r="GK61" s="9"/>
    </row>
    <row r="62" spans="1:193" s="2" customFormat="1" ht="16.95" customHeight="1">
      <c r="A62" s="14" t="s">
        <v>62</v>
      </c>
      <c r="B62" s="38">
        <v>0</v>
      </c>
      <c r="C62" s="38">
        <v>0</v>
      </c>
      <c r="D62" s="4">
        <f t="shared" si="34"/>
        <v>0</v>
      </c>
      <c r="E62" s="11">
        <v>0</v>
      </c>
      <c r="F62" s="5" t="s">
        <v>371</v>
      </c>
      <c r="G62" s="5" t="s">
        <v>371</v>
      </c>
      <c r="H62" s="5" t="s">
        <v>371</v>
      </c>
      <c r="I62" s="5" t="s">
        <v>371</v>
      </c>
      <c r="J62" s="5" t="s">
        <v>371</v>
      </c>
      <c r="K62" s="5" t="s">
        <v>371</v>
      </c>
      <c r="L62" s="5" t="s">
        <v>371</v>
      </c>
      <c r="M62" s="5" t="s">
        <v>371</v>
      </c>
      <c r="N62" s="38">
        <v>379.4</v>
      </c>
      <c r="O62" s="38">
        <v>170</v>
      </c>
      <c r="P62" s="4">
        <f t="shared" si="35"/>
        <v>0.44807590933052188</v>
      </c>
      <c r="Q62" s="11">
        <v>20</v>
      </c>
      <c r="R62" s="11">
        <v>1</v>
      </c>
      <c r="S62" s="11">
        <v>15</v>
      </c>
      <c r="T62" s="38">
        <v>150</v>
      </c>
      <c r="U62" s="38">
        <v>145.19999999999999</v>
      </c>
      <c r="V62" s="4">
        <f t="shared" si="36"/>
        <v>0.96799999999999997</v>
      </c>
      <c r="W62" s="11">
        <v>30</v>
      </c>
      <c r="X62" s="38">
        <v>8</v>
      </c>
      <c r="Y62" s="38">
        <v>8.1999999999999993</v>
      </c>
      <c r="Z62" s="4">
        <f t="shared" si="37"/>
        <v>1.0249999999999999</v>
      </c>
      <c r="AA62" s="11">
        <v>20</v>
      </c>
      <c r="AB62" s="50">
        <f t="shared" si="43"/>
        <v>0.86472374337188751</v>
      </c>
      <c r="AC62" s="50">
        <f t="shared" si="44"/>
        <v>0.86472374337188751</v>
      </c>
      <c r="AD62" s="51">
        <v>1119</v>
      </c>
      <c r="AE62" s="38">
        <f t="shared" si="38"/>
        <v>101.72727272727273</v>
      </c>
      <c r="AF62" s="38">
        <f t="shared" si="39"/>
        <v>88</v>
      </c>
      <c r="AG62" s="38">
        <f t="shared" si="40"/>
        <v>-13.727272727272734</v>
      </c>
      <c r="AH62" s="38">
        <v>6.5</v>
      </c>
      <c r="AI62" s="38">
        <f t="shared" si="41"/>
        <v>94.5</v>
      </c>
      <c r="AJ62" s="38"/>
      <c r="AK62" s="38">
        <f t="shared" si="42"/>
        <v>94.5</v>
      </c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0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10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10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10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10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10"/>
      <c r="GJ62" s="9"/>
      <c r="GK62" s="9"/>
    </row>
    <row r="63" spans="1:193" s="2" customFormat="1" ht="16.95" customHeight="1">
      <c r="A63" s="14" t="s">
        <v>63</v>
      </c>
      <c r="B63" s="38">
        <v>0</v>
      </c>
      <c r="C63" s="38">
        <v>137.30000000000001</v>
      </c>
      <c r="D63" s="4">
        <f t="shared" si="34"/>
        <v>0</v>
      </c>
      <c r="E63" s="11">
        <v>0</v>
      </c>
      <c r="F63" s="5" t="s">
        <v>371</v>
      </c>
      <c r="G63" s="5" t="s">
        <v>371</v>
      </c>
      <c r="H63" s="5" t="s">
        <v>371</v>
      </c>
      <c r="I63" s="5" t="s">
        <v>371</v>
      </c>
      <c r="J63" s="5" t="s">
        <v>371</v>
      </c>
      <c r="K63" s="5" t="s">
        <v>371</v>
      </c>
      <c r="L63" s="5" t="s">
        <v>371</v>
      </c>
      <c r="M63" s="5" t="s">
        <v>371</v>
      </c>
      <c r="N63" s="38">
        <v>199.8</v>
      </c>
      <c r="O63" s="38">
        <v>196.1</v>
      </c>
      <c r="P63" s="4">
        <f t="shared" si="35"/>
        <v>0.9814814814814814</v>
      </c>
      <c r="Q63" s="11">
        <v>20</v>
      </c>
      <c r="R63" s="11">
        <v>1</v>
      </c>
      <c r="S63" s="11">
        <v>15</v>
      </c>
      <c r="T63" s="38">
        <v>12</v>
      </c>
      <c r="U63" s="38">
        <v>12.2</v>
      </c>
      <c r="V63" s="4">
        <f t="shared" si="36"/>
        <v>1.0166666666666666</v>
      </c>
      <c r="W63" s="11">
        <v>30</v>
      </c>
      <c r="X63" s="38">
        <v>3.6</v>
      </c>
      <c r="Y63" s="38">
        <v>3.7</v>
      </c>
      <c r="Z63" s="4">
        <f t="shared" si="37"/>
        <v>1.0277777777777779</v>
      </c>
      <c r="AA63" s="11">
        <v>20</v>
      </c>
      <c r="AB63" s="50">
        <f t="shared" si="43"/>
        <v>1.0080610021786491</v>
      </c>
      <c r="AC63" s="50">
        <f t="shared" si="44"/>
        <v>1.0080610021786491</v>
      </c>
      <c r="AD63" s="51">
        <v>829</v>
      </c>
      <c r="AE63" s="38">
        <f t="shared" si="38"/>
        <v>75.36363636363636</v>
      </c>
      <c r="AF63" s="38">
        <f t="shared" si="39"/>
        <v>76</v>
      </c>
      <c r="AG63" s="38">
        <f t="shared" si="40"/>
        <v>0.63636363636364024</v>
      </c>
      <c r="AH63" s="38">
        <v>11.1</v>
      </c>
      <c r="AI63" s="38">
        <f t="shared" si="41"/>
        <v>87.1</v>
      </c>
      <c r="AJ63" s="38"/>
      <c r="AK63" s="38">
        <f t="shared" si="42"/>
        <v>87.1</v>
      </c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0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10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10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10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10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10"/>
      <c r="GJ63" s="9"/>
      <c r="GK63" s="9"/>
    </row>
    <row r="64" spans="1:193" s="2" customFormat="1" ht="16.95" customHeight="1">
      <c r="A64" s="14" t="s">
        <v>64</v>
      </c>
      <c r="B64" s="38">
        <v>0</v>
      </c>
      <c r="C64" s="38">
        <v>0</v>
      </c>
      <c r="D64" s="4">
        <f t="shared" si="34"/>
        <v>0</v>
      </c>
      <c r="E64" s="11">
        <v>0</v>
      </c>
      <c r="F64" s="5" t="s">
        <v>371</v>
      </c>
      <c r="G64" s="5" t="s">
        <v>371</v>
      </c>
      <c r="H64" s="5" t="s">
        <v>371</v>
      </c>
      <c r="I64" s="5" t="s">
        <v>371</v>
      </c>
      <c r="J64" s="5" t="s">
        <v>371</v>
      </c>
      <c r="K64" s="5" t="s">
        <v>371</v>
      </c>
      <c r="L64" s="5" t="s">
        <v>371</v>
      </c>
      <c r="M64" s="5" t="s">
        <v>371</v>
      </c>
      <c r="N64" s="38">
        <v>210.3</v>
      </c>
      <c r="O64" s="38">
        <v>14.4</v>
      </c>
      <c r="P64" s="4">
        <f t="shared" si="35"/>
        <v>6.8473609129814553E-2</v>
      </c>
      <c r="Q64" s="11">
        <v>20</v>
      </c>
      <c r="R64" s="11">
        <v>1</v>
      </c>
      <c r="S64" s="11">
        <v>15</v>
      </c>
      <c r="T64" s="38">
        <v>0</v>
      </c>
      <c r="U64" s="38">
        <v>0</v>
      </c>
      <c r="V64" s="4">
        <f t="shared" si="36"/>
        <v>1</v>
      </c>
      <c r="W64" s="11">
        <v>35</v>
      </c>
      <c r="X64" s="38">
        <v>1</v>
      </c>
      <c r="Y64" s="38">
        <v>1.1000000000000001</v>
      </c>
      <c r="Z64" s="4">
        <f t="shared" si="37"/>
        <v>1.1000000000000001</v>
      </c>
      <c r="AA64" s="11">
        <v>15</v>
      </c>
      <c r="AB64" s="50">
        <f t="shared" si="43"/>
        <v>0.79846437861877995</v>
      </c>
      <c r="AC64" s="50">
        <f t="shared" si="44"/>
        <v>0.79846437861877995</v>
      </c>
      <c r="AD64" s="51">
        <v>1167</v>
      </c>
      <c r="AE64" s="38">
        <f t="shared" si="38"/>
        <v>106.09090909090909</v>
      </c>
      <c r="AF64" s="38">
        <f t="shared" si="39"/>
        <v>84.7</v>
      </c>
      <c r="AG64" s="38">
        <f t="shared" si="40"/>
        <v>-21.390909090909091</v>
      </c>
      <c r="AH64" s="38">
        <v>4.9000000000000004</v>
      </c>
      <c r="AI64" s="38">
        <f t="shared" si="41"/>
        <v>89.600000000000009</v>
      </c>
      <c r="AJ64" s="38"/>
      <c r="AK64" s="38">
        <f t="shared" si="42"/>
        <v>89.6</v>
      </c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10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10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10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10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10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10"/>
      <c r="GJ64" s="9"/>
      <c r="GK64" s="9"/>
    </row>
    <row r="65" spans="1:193" s="2" customFormat="1" ht="16.95" customHeight="1">
      <c r="A65" s="14" t="s">
        <v>65</v>
      </c>
      <c r="B65" s="38">
        <v>1546</v>
      </c>
      <c r="C65" s="38">
        <v>1187</v>
      </c>
      <c r="D65" s="4">
        <f t="shared" si="34"/>
        <v>0.76778783958602848</v>
      </c>
      <c r="E65" s="11">
        <v>10</v>
      </c>
      <c r="F65" s="5" t="s">
        <v>371</v>
      </c>
      <c r="G65" s="5" t="s">
        <v>371</v>
      </c>
      <c r="H65" s="5" t="s">
        <v>371</v>
      </c>
      <c r="I65" s="5" t="s">
        <v>371</v>
      </c>
      <c r="J65" s="5" t="s">
        <v>371</v>
      </c>
      <c r="K65" s="5" t="s">
        <v>371</v>
      </c>
      <c r="L65" s="5" t="s">
        <v>371</v>
      </c>
      <c r="M65" s="5" t="s">
        <v>371</v>
      </c>
      <c r="N65" s="38">
        <v>493.3</v>
      </c>
      <c r="O65" s="38">
        <v>109.6</v>
      </c>
      <c r="P65" s="4">
        <f t="shared" si="35"/>
        <v>0.22217717413338736</v>
      </c>
      <c r="Q65" s="11">
        <v>20</v>
      </c>
      <c r="R65" s="11">
        <v>1</v>
      </c>
      <c r="S65" s="11">
        <v>15</v>
      </c>
      <c r="T65" s="38">
        <v>14</v>
      </c>
      <c r="U65" s="38">
        <v>17.399999999999999</v>
      </c>
      <c r="V65" s="4">
        <f t="shared" si="36"/>
        <v>1.2428571428571427</v>
      </c>
      <c r="W65" s="11">
        <v>25</v>
      </c>
      <c r="X65" s="38">
        <v>8</v>
      </c>
      <c r="Y65" s="38">
        <v>9.3000000000000007</v>
      </c>
      <c r="Z65" s="4">
        <f t="shared" si="37"/>
        <v>1.1625000000000001</v>
      </c>
      <c r="AA65" s="11">
        <v>25</v>
      </c>
      <c r="AB65" s="50">
        <f t="shared" si="43"/>
        <v>0.91847737315743783</v>
      </c>
      <c r="AC65" s="50">
        <f t="shared" si="44"/>
        <v>0.91847737315743783</v>
      </c>
      <c r="AD65" s="51">
        <v>206</v>
      </c>
      <c r="AE65" s="38">
        <f t="shared" si="38"/>
        <v>18.727272727272727</v>
      </c>
      <c r="AF65" s="38">
        <f t="shared" si="39"/>
        <v>17.2</v>
      </c>
      <c r="AG65" s="38">
        <f t="shared" si="40"/>
        <v>-1.5272727272727273</v>
      </c>
      <c r="AH65" s="38">
        <v>2.5</v>
      </c>
      <c r="AI65" s="38">
        <f t="shared" si="41"/>
        <v>19.7</v>
      </c>
      <c r="AJ65" s="38">
        <f>MIN($AI65,9)</f>
        <v>9</v>
      </c>
      <c r="AK65" s="38">
        <f t="shared" si="42"/>
        <v>10.7</v>
      </c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0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10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10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10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10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10"/>
      <c r="GJ65" s="9"/>
      <c r="GK65" s="9"/>
    </row>
    <row r="66" spans="1:193" s="2" customFormat="1" ht="16.95" customHeight="1">
      <c r="A66" s="19" t="s">
        <v>66</v>
      </c>
      <c r="B66" s="7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0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10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10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10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10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10"/>
      <c r="GJ66" s="9"/>
      <c r="GK66" s="9"/>
    </row>
    <row r="67" spans="1:193" s="2" customFormat="1" ht="16.95" customHeight="1">
      <c r="A67" s="14" t="s">
        <v>67</v>
      </c>
      <c r="B67" s="38">
        <v>18</v>
      </c>
      <c r="C67" s="38">
        <v>39</v>
      </c>
      <c r="D67" s="4">
        <f t="shared" si="34"/>
        <v>2.1666666666666665</v>
      </c>
      <c r="E67" s="11">
        <v>10</v>
      </c>
      <c r="F67" s="5" t="s">
        <v>371</v>
      </c>
      <c r="G67" s="5" t="s">
        <v>371</v>
      </c>
      <c r="H67" s="5" t="s">
        <v>371</v>
      </c>
      <c r="I67" s="5" t="s">
        <v>371</v>
      </c>
      <c r="J67" s="5" t="s">
        <v>371</v>
      </c>
      <c r="K67" s="5" t="s">
        <v>371</v>
      </c>
      <c r="L67" s="5" t="s">
        <v>371</v>
      </c>
      <c r="M67" s="5" t="s">
        <v>371</v>
      </c>
      <c r="N67" s="38">
        <v>389.2</v>
      </c>
      <c r="O67" s="38">
        <v>262.10000000000002</v>
      </c>
      <c r="P67" s="4">
        <f t="shared" si="35"/>
        <v>0.67343268242548826</v>
      </c>
      <c r="Q67" s="11">
        <v>20</v>
      </c>
      <c r="R67" s="11">
        <v>1</v>
      </c>
      <c r="S67" s="11">
        <v>15</v>
      </c>
      <c r="T67" s="38">
        <v>582</v>
      </c>
      <c r="U67" s="38">
        <v>737.4</v>
      </c>
      <c r="V67" s="4">
        <f t="shared" si="36"/>
        <v>1.2670103092783505</v>
      </c>
      <c r="W67" s="11">
        <v>30</v>
      </c>
      <c r="X67" s="38">
        <v>1.9</v>
      </c>
      <c r="Y67" s="38">
        <v>0.8</v>
      </c>
      <c r="Z67" s="4">
        <f t="shared" si="37"/>
        <v>0.4210526315789474</v>
      </c>
      <c r="AA67" s="11">
        <v>20</v>
      </c>
      <c r="AB67" s="50">
        <f t="shared" si="43"/>
        <v>1.0164913918432197</v>
      </c>
      <c r="AC67" s="50">
        <f t="shared" si="44"/>
        <v>1.0164913918432197</v>
      </c>
      <c r="AD67" s="51">
        <v>943</v>
      </c>
      <c r="AE67" s="38">
        <f t="shared" si="38"/>
        <v>85.727272727272734</v>
      </c>
      <c r="AF67" s="38">
        <f t="shared" si="39"/>
        <v>87.1</v>
      </c>
      <c r="AG67" s="38">
        <f t="shared" si="40"/>
        <v>1.3727272727272606</v>
      </c>
      <c r="AH67" s="38">
        <v>-11.4</v>
      </c>
      <c r="AI67" s="38">
        <f t="shared" si="41"/>
        <v>75.699999999999989</v>
      </c>
      <c r="AJ67" s="38"/>
      <c r="AK67" s="38">
        <f t="shared" si="42"/>
        <v>75.7</v>
      </c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0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10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10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10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10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10"/>
      <c r="GJ67" s="9"/>
      <c r="GK67" s="9"/>
    </row>
    <row r="68" spans="1:193" s="2" customFormat="1" ht="16.95" customHeight="1">
      <c r="A68" s="14" t="s">
        <v>68</v>
      </c>
      <c r="B68" s="38">
        <v>32285</v>
      </c>
      <c r="C68" s="38">
        <v>20152</v>
      </c>
      <c r="D68" s="4">
        <f t="shared" si="34"/>
        <v>0.62419080068143096</v>
      </c>
      <c r="E68" s="11">
        <v>10</v>
      </c>
      <c r="F68" s="5" t="s">
        <v>371</v>
      </c>
      <c r="G68" s="5" t="s">
        <v>371</v>
      </c>
      <c r="H68" s="5" t="s">
        <v>371</v>
      </c>
      <c r="I68" s="5" t="s">
        <v>371</v>
      </c>
      <c r="J68" s="5" t="s">
        <v>371</v>
      </c>
      <c r="K68" s="5" t="s">
        <v>371</v>
      </c>
      <c r="L68" s="5" t="s">
        <v>371</v>
      </c>
      <c r="M68" s="5" t="s">
        <v>371</v>
      </c>
      <c r="N68" s="38">
        <v>1816.6</v>
      </c>
      <c r="O68" s="38">
        <v>1065.4000000000001</v>
      </c>
      <c r="P68" s="4">
        <f t="shared" si="35"/>
        <v>0.58648023780689207</v>
      </c>
      <c r="Q68" s="11">
        <v>20</v>
      </c>
      <c r="R68" s="11">
        <v>1</v>
      </c>
      <c r="S68" s="11">
        <v>15</v>
      </c>
      <c r="T68" s="38">
        <v>2</v>
      </c>
      <c r="U68" s="38">
        <v>10.1</v>
      </c>
      <c r="V68" s="4">
        <f t="shared" si="36"/>
        <v>5.05</v>
      </c>
      <c r="W68" s="11">
        <v>5</v>
      </c>
      <c r="X68" s="38">
        <v>0</v>
      </c>
      <c r="Y68" s="38">
        <v>143</v>
      </c>
      <c r="Z68" s="4">
        <f t="shared" si="37"/>
        <v>1</v>
      </c>
      <c r="AA68" s="11">
        <v>45</v>
      </c>
      <c r="AB68" s="50">
        <f t="shared" si="43"/>
        <v>1.0865422396100228</v>
      </c>
      <c r="AC68" s="50">
        <f t="shared" si="44"/>
        <v>1.0865422396100228</v>
      </c>
      <c r="AD68" s="51">
        <v>4056</v>
      </c>
      <c r="AE68" s="38">
        <f t="shared" si="38"/>
        <v>368.72727272727275</v>
      </c>
      <c r="AF68" s="38">
        <f t="shared" si="39"/>
        <v>400.6</v>
      </c>
      <c r="AG68" s="38">
        <f t="shared" si="40"/>
        <v>31.872727272727275</v>
      </c>
      <c r="AH68" s="38">
        <v>0</v>
      </c>
      <c r="AI68" s="38">
        <f t="shared" si="41"/>
        <v>400.6</v>
      </c>
      <c r="AJ68" s="38">
        <f>MIN($AI68,555.4)</f>
        <v>400.6</v>
      </c>
      <c r="AK68" s="38">
        <f t="shared" si="42"/>
        <v>0</v>
      </c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10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10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10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10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10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10"/>
      <c r="GJ68" s="9"/>
      <c r="GK68" s="9"/>
    </row>
    <row r="69" spans="1:193" s="2" customFormat="1" ht="16.95" customHeight="1">
      <c r="A69" s="14" t="s">
        <v>69</v>
      </c>
      <c r="B69" s="38">
        <v>2656</v>
      </c>
      <c r="C69" s="38">
        <v>2308.6999999999998</v>
      </c>
      <c r="D69" s="4">
        <f t="shared" si="34"/>
        <v>0.86923945783132528</v>
      </c>
      <c r="E69" s="11">
        <v>10</v>
      </c>
      <c r="F69" s="5" t="s">
        <v>371</v>
      </c>
      <c r="G69" s="5" t="s">
        <v>371</v>
      </c>
      <c r="H69" s="5" t="s">
        <v>371</v>
      </c>
      <c r="I69" s="5" t="s">
        <v>371</v>
      </c>
      <c r="J69" s="5" t="s">
        <v>371</v>
      </c>
      <c r="K69" s="5" t="s">
        <v>371</v>
      </c>
      <c r="L69" s="5" t="s">
        <v>371</v>
      </c>
      <c r="M69" s="5" t="s">
        <v>371</v>
      </c>
      <c r="N69" s="38">
        <v>267.2</v>
      </c>
      <c r="O69" s="38">
        <v>178.4</v>
      </c>
      <c r="P69" s="4">
        <f t="shared" si="35"/>
        <v>0.66766467065868274</v>
      </c>
      <c r="Q69" s="11">
        <v>20</v>
      </c>
      <c r="R69" s="11">
        <v>1</v>
      </c>
      <c r="S69" s="11">
        <v>15</v>
      </c>
      <c r="T69" s="38">
        <v>28</v>
      </c>
      <c r="U69" s="38">
        <v>30</v>
      </c>
      <c r="V69" s="4">
        <f t="shared" si="36"/>
        <v>1.0714285714285714</v>
      </c>
      <c r="W69" s="11">
        <v>20</v>
      </c>
      <c r="X69" s="38">
        <v>5.3</v>
      </c>
      <c r="Y69" s="38">
        <v>13.2</v>
      </c>
      <c r="Z69" s="4">
        <f t="shared" si="37"/>
        <v>2.4905660377358489</v>
      </c>
      <c r="AA69" s="11">
        <v>30</v>
      </c>
      <c r="AB69" s="50">
        <f t="shared" si="43"/>
        <v>1.402013058443514</v>
      </c>
      <c r="AC69" s="50">
        <f t="shared" si="44"/>
        <v>1.2202013058443513</v>
      </c>
      <c r="AD69" s="51">
        <v>1198</v>
      </c>
      <c r="AE69" s="38">
        <f t="shared" si="38"/>
        <v>108.90909090909091</v>
      </c>
      <c r="AF69" s="38">
        <f t="shared" si="39"/>
        <v>132.9</v>
      </c>
      <c r="AG69" s="38">
        <f t="shared" si="40"/>
        <v>23.990909090909099</v>
      </c>
      <c r="AH69" s="38">
        <v>-1.9</v>
      </c>
      <c r="AI69" s="38">
        <f t="shared" si="41"/>
        <v>131</v>
      </c>
      <c r="AJ69" s="38"/>
      <c r="AK69" s="38">
        <f t="shared" si="42"/>
        <v>131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10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10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10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10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10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10"/>
      <c r="GJ69" s="9"/>
      <c r="GK69" s="9"/>
    </row>
    <row r="70" spans="1:193" s="2" customFormat="1" ht="16.95" customHeight="1">
      <c r="A70" s="14" t="s">
        <v>70</v>
      </c>
      <c r="B70" s="38">
        <v>139385</v>
      </c>
      <c r="C70" s="38">
        <v>170753</v>
      </c>
      <c r="D70" s="4">
        <f t="shared" si="34"/>
        <v>1.2250457366287621</v>
      </c>
      <c r="E70" s="11">
        <v>10</v>
      </c>
      <c r="F70" s="5" t="s">
        <v>371</v>
      </c>
      <c r="G70" s="5" t="s">
        <v>371</v>
      </c>
      <c r="H70" s="5" t="s">
        <v>371</v>
      </c>
      <c r="I70" s="5" t="s">
        <v>371</v>
      </c>
      <c r="J70" s="5" t="s">
        <v>371</v>
      </c>
      <c r="K70" s="5" t="s">
        <v>371</v>
      </c>
      <c r="L70" s="5" t="s">
        <v>371</v>
      </c>
      <c r="M70" s="5" t="s">
        <v>371</v>
      </c>
      <c r="N70" s="38">
        <v>1265.8</v>
      </c>
      <c r="O70" s="38">
        <v>630.5</v>
      </c>
      <c r="P70" s="4">
        <f t="shared" si="35"/>
        <v>0.49810396587138572</v>
      </c>
      <c r="Q70" s="11">
        <v>20</v>
      </c>
      <c r="R70" s="11">
        <v>1</v>
      </c>
      <c r="S70" s="11">
        <v>15</v>
      </c>
      <c r="T70" s="38">
        <v>0</v>
      </c>
      <c r="U70" s="38">
        <v>3.6</v>
      </c>
      <c r="V70" s="4">
        <f t="shared" si="36"/>
        <v>1</v>
      </c>
      <c r="W70" s="11">
        <v>10</v>
      </c>
      <c r="X70" s="38">
        <v>1.6</v>
      </c>
      <c r="Y70" s="38">
        <v>0</v>
      </c>
      <c r="Z70" s="4">
        <f t="shared" si="37"/>
        <v>0</v>
      </c>
      <c r="AA70" s="11">
        <v>40</v>
      </c>
      <c r="AB70" s="50">
        <f t="shared" si="43"/>
        <v>0.49697407035489827</v>
      </c>
      <c r="AC70" s="50">
        <f t="shared" si="44"/>
        <v>0.49697407035489827</v>
      </c>
      <c r="AD70" s="51">
        <v>155</v>
      </c>
      <c r="AE70" s="38">
        <f t="shared" si="38"/>
        <v>14.090909090909092</v>
      </c>
      <c r="AF70" s="38">
        <f t="shared" si="39"/>
        <v>7</v>
      </c>
      <c r="AG70" s="38">
        <f t="shared" si="40"/>
        <v>-7.0909090909090917</v>
      </c>
      <c r="AH70" s="38">
        <v>-0.2</v>
      </c>
      <c r="AI70" s="38">
        <f t="shared" si="41"/>
        <v>6.8</v>
      </c>
      <c r="AJ70" s="38"/>
      <c r="AK70" s="38">
        <f t="shared" si="42"/>
        <v>6.8</v>
      </c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10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10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10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10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10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10"/>
      <c r="GJ70" s="9"/>
      <c r="GK70" s="9"/>
    </row>
    <row r="71" spans="1:193" s="2" customFormat="1" ht="16.95" customHeight="1">
      <c r="A71" s="14" t="s">
        <v>71</v>
      </c>
      <c r="B71" s="38">
        <v>0</v>
      </c>
      <c r="C71" s="38">
        <v>0</v>
      </c>
      <c r="D71" s="4">
        <f t="shared" si="34"/>
        <v>0</v>
      </c>
      <c r="E71" s="11">
        <v>0</v>
      </c>
      <c r="F71" s="5" t="s">
        <v>371</v>
      </c>
      <c r="G71" s="5" t="s">
        <v>371</v>
      </c>
      <c r="H71" s="5" t="s">
        <v>371</v>
      </c>
      <c r="I71" s="5" t="s">
        <v>371</v>
      </c>
      <c r="J71" s="5" t="s">
        <v>371</v>
      </c>
      <c r="K71" s="5" t="s">
        <v>371</v>
      </c>
      <c r="L71" s="5" t="s">
        <v>371</v>
      </c>
      <c r="M71" s="5" t="s">
        <v>371</v>
      </c>
      <c r="N71" s="38">
        <v>485.8</v>
      </c>
      <c r="O71" s="38">
        <v>172.9</v>
      </c>
      <c r="P71" s="4">
        <f t="shared" si="35"/>
        <v>0.35590778097982712</v>
      </c>
      <c r="Q71" s="11">
        <v>20</v>
      </c>
      <c r="R71" s="11">
        <v>1</v>
      </c>
      <c r="S71" s="11">
        <v>15</v>
      </c>
      <c r="T71" s="38">
        <v>51</v>
      </c>
      <c r="U71" s="38">
        <v>68.400000000000006</v>
      </c>
      <c r="V71" s="4">
        <f t="shared" si="36"/>
        <v>1.3411764705882354</v>
      </c>
      <c r="W71" s="11">
        <v>20</v>
      </c>
      <c r="X71" s="38">
        <v>19.600000000000001</v>
      </c>
      <c r="Y71" s="38">
        <v>10.3</v>
      </c>
      <c r="Z71" s="4">
        <f t="shared" si="37"/>
        <v>0.52551020408163263</v>
      </c>
      <c r="AA71" s="11">
        <v>30</v>
      </c>
      <c r="AB71" s="50">
        <f t="shared" si="43"/>
        <v>0.76125871945659096</v>
      </c>
      <c r="AC71" s="50">
        <f t="shared" si="44"/>
        <v>0.76125871945659096</v>
      </c>
      <c r="AD71" s="51">
        <v>1576</v>
      </c>
      <c r="AE71" s="38">
        <f t="shared" si="38"/>
        <v>143.27272727272728</v>
      </c>
      <c r="AF71" s="38">
        <f t="shared" si="39"/>
        <v>109.1</v>
      </c>
      <c r="AG71" s="38">
        <f t="shared" si="40"/>
        <v>-34.172727272727286</v>
      </c>
      <c r="AH71" s="38">
        <v>-19.399999999999999</v>
      </c>
      <c r="AI71" s="38">
        <f t="shared" si="41"/>
        <v>89.699999999999989</v>
      </c>
      <c r="AJ71" s="38"/>
      <c r="AK71" s="38">
        <f t="shared" si="42"/>
        <v>89.7</v>
      </c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0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10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10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10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10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10"/>
      <c r="GJ71" s="9"/>
      <c r="GK71" s="9"/>
    </row>
    <row r="72" spans="1:193" s="2" customFormat="1" ht="16.95" customHeight="1">
      <c r="A72" s="19" t="s">
        <v>72</v>
      </c>
      <c r="B72" s="7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0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10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10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10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10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10"/>
      <c r="GJ72" s="9"/>
      <c r="GK72" s="9"/>
    </row>
    <row r="73" spans="1:193" s="2" customFormat="1" ht="16.95" customHeight="1">
      <c r="A73" s="14" t="s">
        <v>73</v>
      </c>
      <c r="B73" s="38">
        <v>527</v>
      </c>
      <c r="C73" s="38">
        <v>591.1</v>
      </c>
      <c r="D73" s="4">
        <f t="shared" si="34"/>
        <v>1.1216318785578747</v>
      </c>
      <c r="E73" s="11">
        <v>10</v>
      </c>
      <c r="F73" s="5" t="s">
        <v>371</v>
      </c>
      <c r="G73" s="5" t="s">
        <v>371</v>
      </c>
      <c r="H73" s="5" t="s">
        <v>371</v>
      </c>
      <c r="I73" s="5" t="s">
        <v>371</v>
      </c>
      <c r="J73" s="5" t="s">
        <v>371</v>
      </c>
      <c r="K73" s="5" t="s">
        <v>371</v>
      </c>
      <c r="L73" s="5" t="s">
        <v>371</v>
      </c>
      <c r="M73" s="5" t="s">
        <v>371</v>
      </c>
      <c r="N73" s="38">
        <v>1411.4</v>
      </c>
      <c r="O73" s="38">
        <v>529.5</v>
      </c>
      <c r="P73" s="4">
        <f t="shared" si="35"/>
        <v>0.37515941618251381</v>
      </c>
      <c r="Q73" s="11">
        <v>20</v>
      </c>
      <c r="R73" s="11">
        <v>1</v>
      </c>
      <c r="S73" s="11">
        <v>15</v>
      </c>
      <c r="T73" s="38">
        <v>103</v>
      </c>
      <c r="U73" s="38">
        <v>82.3</v>
      </c>
      <c r="V73" s="4">
        <f t="shared" si="36"/>
        <v>0.79902912621359223</v>
      </c>
      <c r="W73" s="11">
        <v>30</v>
      </c>
      <c r="X73" s="38">
        <v>3</v>
      </c>
      <c r="Y73" s="38">
        <v>3.3</v>
      </c>
      <c r="Z73" s="4">
        <f t="shared" si="37"/>
        <v>1.0999999999999999</v>
      </c>
      <c r="AA73" s="11">
        <v>20</v>
      </c>
      <c r="AB73" s="50">
        <f t="shared" si="43"/>
        <v>0.83884611469091364</v>
      </c>
      <c r="AC73" s="50">
        <f t="shared" si="44"/>
        <v>0.83884611469091364</v>
      </c>
      <c r="AD73" s="51">
        <v>169</v>
      </c>
      <c r="AE73" s="38">
        <f t="shared" si="38"/>
        <v>15.363636363636363</v>
      </c>
      <c r="AF73" s="38">
        <f t="shared" si="39"/>
        <v>12.9</v>
      </c>
      <c r="AG73" s="38">
        <f t="shared" si="40"/>
        <v>-2.463636363636363</v>
      </c>
      <c r="AH73" s="38">
        <v>-1.5</v>
      </c>
      <c r="AI73" s="38">
        <f t="shared" si="41"/>
        <v>11.4</v>
      </c>
      <c r="AJ73" s="38"/>
      <c r="AK73" s="38">
        <f t="shared" si="42"/>
        <v>11.4</v>
      </c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0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10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10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10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10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10"/>
      <c r="GJ73" s="9"/>
      <c r="GK73" s="9"/>
    </row>
    <row r="74" spans="1:193" s="2" customFormat="1" ht="16.95" customHeight="1">
      <c r="A74" s="14" t="s">
        <v>74</v>
      </c>
      <c r="B74" s="38">
        <v>10954</v>
      </c>
      <c r="C74" s="38">
        <v>10517</v>
      </c>
      <c r="D74" s="4">
        <f t="shared" si="34"/>
        <v>0.96010589738908159</v>
      </c>
      <c r="E74" s="11">
        <v>10</v>
      </c>
      <c r="F74" s="5" t="s">
        <v>371</v>
      </c>
      <c r="G74" s="5" t="s">
        <v>371</v>
      </c>
      <c r="H74" s="5" t="s">
        <v>371</v>
      </c>
      <c r="I74" s="5" t="s">
        <v>371</v>
      </c>
      <c r="J74" s="5" t="s">
        <v>371</v>
      </c>
      <c r="K74" s="5" t="s">
        <v>371</v>
      </c>
      <c r="L74" s="5" t="s">
        <v>371</v>
      </c>
      <c r="M74" s="5" t="s">
        <v>371</v>
      </c>
      <c r="N74" s="38">
        <v>1722.7</v>
      </c>
      <c r="O74" s="38">
        <v>1521.7</v>
      </c>
      <c r="P74" s="4">
        <f t="shared" si="35"/>
        <v>0.88332269112439776</v>
      </c>
      <c r="Q74" s="11">
        <v>20</v>
      </c>
      <c r="R74" s="11">
        <v>1</v>
      </c>
      <c r="S74" s="11">
        <v>15</v>
      </c>
      <c r="T74" s="38">
        <v>55</v>
      </c>
      <c r="U74" s="38">
        <v>55.1</v>
      </c>
      <c r="V74" s="4">
        <f t="shared" si="36"/>
        <v>1.0018181818181819</v>
      </c>
      <c r="W74" s="11">
        <v>20</v>
      </c>
      <c r="X74" s="38">
        <v>42</v>
      </c>
      <c r="Y74" s="38">
        <v>42.5</v>
      </c>
      <c r="Z74" s="4">
        <f t="shared" si="37"/>
        <v>1.0119047619047619</v>
      </c>
      <c r="AA74" s="11">
        <v>30</v>
      </c>
      <c r="AB74" s="50">
        <f t="shared" si="43"/>
        <v>0.9753791504198448</v>
      </c>
      <c r="AC74" s="50">
        <f t="shared" si="44"/>
        <v>0.9753791504198448</v>
      </c>
      <c r="AD74" s="51">
        <v>4622</v>
      </c>
      <c r="AE74" s="38">
        <f t="shared" si="38"/>
        <v>420.18181818181819</v>
      </c>
      <c r="AF74" s="38">
        <f t="shared" si="39"/>
        <v>409.8</v>
      </c>
      <c r="AG74" s="38">
        <f t="shared" si="40"/>
        <v>-10.381818181818176</v>
      </c>
      <c r="AH74" s="38">
        <v>21.3</v>
      </c>
      <c r="AI74" s="38">
        <f t="shared" si="41"/>
        <v>431.1</v>
      </c>
      <c r="AJ74" s="38">
        <v>-24.2</v>
      </c>
      <c r="AK74" s="38">
        <f t="shared" si="42"/>
        <v>455.3</v>
      </c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0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10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10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10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10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10"/>
      <c r="GJ74" s="9"/>
      <c r="GK74" s="9"/>
    </row>
    <row r="75" spans="1:193" s="2" customFormat="1" ht="16.95" customHeight="1">
      <c r="A75" s="14" t="s">
        <v>75</v>
      </c>
      <c r="B75" s="38">
        <v>25</v>
      </c>
      <c r="C75" s="38">
        <v>50</v>
      </c>
      <c r="D75" s="4">
        <f t="shared" si="34"/>
        <v>2</v>
      </c>
      <c r="E75" s="11">
        <v>10</v>
      </c>
      <c r="F75" s="5" t="s">
        <v>371</v>
      </c>
      <c r="G75" s="5" t="s">
        <v>371</v>
      </c>
      <c r="H75" s="5" t="s">
        <v>371</v>
      </c>
      <c r="I75" s="5" t="s">
        <v>371</v>
      </c>
      <c r="J75" s="5" t="s">
        <v>371</v>
      </c>
      <c r="K75" s="5" t="s">
        <v>371</v>
      </c>
      <c r="L75" s="5" t="s">
        <v>371</v>
      </c>
      <c r="M75" s="5" t="s">
        <v>371</v>
      </c>
      <c r="N75" s="38">
        <v>429.7</v>
      </c>
      <c r="O75" s="38">
        <v>83.2</v>
      </c>
      <c r="P75" s="4">
        <f t="shared" si="35"/>
        <v>0.19362345822666979</v>
      </c>
      <c r="Q75" s="11">
        <v>20</v>
      </c>
      <c r="R75" s="11">
        <v>1</v>
      </c>
      <c r="S75" s="11">
        <v>15</v>
      </c>
      <c r="T75" s="38">
        <v>28</v>
      </c>
      <c r="U75" s="38">
        <v>28.4</v>
      </c>
      <c r="V75" s="4">
        <f t="shared" si="36"/>
        <v>1.0142857142857142</v>
      </c>
      <c r="W75" s="11">
        <v>25</v>
      </c>
      <c r="X75" s="38">
        <v>1</v>
      </c>
      <c r="Y75" s="38">
        <v>1</v>
      </c>
      <c r="Z75" s="4">
        <f t="shared" si="37"/>
        <v>1</v>
      </c>
      <c r="AA75" s="11">
        <v>25</v>
      </c>
      <c r="AB75" s="50">
        <f t="shared" si="43"/>
        <v>0.9392590739123815</v>
      </c>
      <c r="AC75" s="50">
        <f t="shared" si="44"/>
        <v>0.9392590739123815</v>
      </c>
      <c r="AD75" s="51">
        <v>646</v>
      </c>
      <c r="AE75" s="38">
        <f t="shared" si="38"/>
        <v>58.727272727272727</v>
      </c>
      <c r="AF75" s="38">
        <f t="shared" si="39"/>
        <v>55.2</v>
      </c>
      <c r="AG75" s="38">
        <f t="shared" si="40"/>
        <v>-3.5272727272727238</v>
      </c>
      <c r="AH75" s="38">
        <v>-10.1</v>
      </c>
      <c r="AI75" s="38">
        <f t="shared" si="41"/>
        <v>45.1</v>
      </c>
      <c r="AJ75" s="38"/>
      <c r="AK75" s="38">
        <f t="shared" si="42"/>
        <v>45.1</v>
      </c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10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10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10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10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10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10"/>
      <c r="GJ75" s="9"/>
      <c r="GK75" s="9"/>
    </row>
    <row r="76" spans="1:193" s="2" customFormat="1" ht="16.95" customHeight="1">
      <c r="A76" s="14" t="s">
        <v>76</v>
      </c>
      <c r="B76" s="38">
        <v>53</v>
      </c>
      <c r="C76" s="38">
        <v>69.599999999999994</v>
      </c>
      <c r="D76" s="4">
        <f t="shared" si="34"/>
        <v>1.3132075471698113</v>
      </c>
      <c r="E76" s="11">
        <v>10</v>
      </c>
      <c r="F76" s="5" t="s">
        <v>371</v>
      </c>
      <c r="G76" s="5" t="s">
        <v>371</v>
      </c>
      <c r="H76" s="5" t="s">
        <v>371</v>
      </c>
      <c r="I76" s="5" t="s">
        <v>371</v>
      </c>
      <c r="J76" s="5" t="s">
        <v>371</v>
      </c>
      <c r="K76" s="5" t="s">
        <v>371</v>
      </c>
      <c r="L76" s="5" t="s">
        <v>371</v>
      </c>
      <c r="M76" s="5" t="s">
        <v>371</v>
      </c>
      <c r="N76" s="38">
        <v>642.29999999999995</v>
      </c>
      <c r="O76" s="38">
        <v>1205.2</v>
      </c>
      <c r="P76" s="4">
        <f t="shared" si="35"/>
        <v>1.8763817530748874</v>
      </c>
      <c r="Q76" s="11">
        <v>20</v>
      </c>
      <c r="R76" s="11">
        <v>1</v>
      </c>
      <c r="S76" s="11">
        <v>15</v>
      </c>
      <c r="T76" s="38">
        <v>54</v>
      </c>
      <c r="U76" s="38">
        <v>54.2</v>
      </c>
      <c r="V76" s="4">
        <f t="shared" si="36"/>
        <v>1.0037037037037038</v>
      </c>
      <c r="W76" s="11">
        <v>30</v>
      </c>
      <c r="X76" s="38">
        <v>11</v>
      </c>
      <c r="Y76" s="38">
        <v>5.5</v>
      </c>
      <c r="Z76" s="4">
        <f t="shared" si="37"/>
        <v>0.5</v>
      </c>
      <c r="AA76" s="11">
        <v>20</v>
      </c>
      <c r="AB76" s="50">
        <f t="shared" si="43"/>
        <v>1.1133770699400733</v>
      </c>
      <c r="AC76" s="50">
        <f t="shared" si="44"/>
        <v>1.1133770699400733</v>
      </c>
      <c r="AD76" s="51">
        <v>987</v>
      </c>
      <c r="AE76" s="38">
        <f t="shared" si="38"/>
        <v>89.727272727272734</v>
      </c>
      <c r="AF76" s="38">
        <f t="shared" si="39"/>
        <v>99.9</v>
      </c>
      <c r="AG76" s="38">
        <f t="shared" si="40"/>
        <v>10.172727272727272</v>
      </c>
      <c r="AH76" s="38">
        <v>-13.5</v>
      </c>
      <c r="AI76" s="38">
        <f t="shared" si="41"/>
        <v>86.4</v>
      </c>
      <c r="AJ76" s="38"/>
      <c r="AK76" s="38">
        <f t="shared" si="42"/>
        <v>86.4</v>
      </c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10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10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10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10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10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10"/>
      <c r="GJ76" s="9"/>
      <c r="GK76" s="9"/>
    </row>
    <row r="77" spans="1:193" s="2" customFormat="1" ht="16.95" customHeight="1">
      <c r="A77" s="14" t="s">
        <v>77</v>
      </c>
      <c r="B77" s="38">
        <v>95</v>
      </c>
      <c r="C77" s="38">
        <v>87.1</v>
      </c>
      <c r="D77" s="4">
        <f t="shared" si="34"/>
        <v>0.91684210526315779</v>
      </c>
      <c r="E77" s="11">
        <v>10</v>
      </c>
      <c r="F77" s="5" t="s">
        <v>371</v>
      </c>
      <c r="G77" s="5" t="s">
        <v>371</v>
      </c>
      <c r="H77" s="5" t="s">
        <v>371</v>
      </c>
      <c r="I77" s="5" t="s">
        <v>371</v>
      </c>
      <c r="J77" s="5" t="s">
        <v>371</v>
      </c>
      <c r="K77" s="5" t="s">
        <v>371</v>
      </c>
      <c r="L77" s="5" t="s">
        <v>371</v>
      </c>
      <c r="M77" s="5" t="s">
        <v>371</v>
      </c>
      <c r="N77" s="38">
        <v>419.9</v>
      </c>
      <c r="O77" s="38">
        <v>36.6</v>
      </c>
      <c r="P77" s="4">
        <f t="shared" si="35"/>
        <v>8.7163610383424628E-2</v>
      </c>
      <c r="Q77" s="11">
        <v>20</v>
      </c>
      <c r="R77" s="11">
        <v>1</v>
      </c>
      <c r="S77" s="11">
        <v>15</v>
      </c>
      <c r="T77" s="38">
        <v>5</v>
      </c>
      <c r="U77" s="38">
        <v>5.2</v>
      </c>
      <c r="V77" s="4">
        <f t="shared" si="36"/>
        <v>1.04</v>
      </c>
      <c r="W77" s="11">
        <v>30</v>
      </c>
      <c r="X77" s="38">
        <v>2</v>
      </c>
      <c r="Y77" s="38">
        <v>2.1</v>
      </c>
      <c r="Z77" s="4">
        <f t="shared" si="37"/>
        <v>1.05</v>
      </c>
      <c r="AA77" s="11">
        <v>20</v>
      </c>
      <c r="AB77" s="50">
        <f t="shared" si="43"/>
        <v>0.82222835010842177</v>
      </c>
      <c r="AC77" s="50">
        <f t="shared" si="44"/>
        <v>0.82222835010842177</v>
      </c>
      <c r="AD77" s="51">
        <v>284</v>
      </c>
      <c r="AE77" s="38">
        <f t="shared" si="38"/>
        <v>25.818181818181817</v>
      </c>
      <c r="AF77" s="38">
        <f t="shared" si="39"/>
        <v>21.2</v>
      </c>
      <c r="AG77" s="38">
        <f t="shared" si="40"/>
        <v>-4.6181818181818173</v>
      </c>
      <c r="AH77" s="38">
        <v>-6.8</v>
      </c>
      <c r="AI77" s="38">
        <f t="shared" si="41"/>
        <v>14.399999999999999</v>
      </c>
      <c r="AJ77" s="38"/>
      <c r="AK77" s="38">
        <f t="shared" si="42"/>
        <v>14.4</v>
      </c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10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10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10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10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10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10"/>
      <c r="GJ77" s="9"/>
      <c r="GK77" s="9"/>
    </row>
    <row r="78" spans="1:193" s="2" customFormat="1" ht="16.95" customHeight="1">
      <c r="A78" s="14" t="s">
        <v>78</v>
      </c>
      <c r="B78" s="38">
        <v>58</v>
      </c>
      <c r="C78" s="38">
        <v>39.799999999999997</v>
      </c>
      <c r="D78" s="4">
        <f t="shared" si="34"/>
        <v>0.68620689655172407</v>
      </c>
      <c r="E78" s="11">
        <v>10</v>
      </c>
      <c r="F78" s="5" t="s">
        <v>371</v>
      </c>
      <c r="G78" s="5" t="s">
        <v>371</v>
      </c>
      <c r="H78" s="5" t="s">
        <v>371</v>
      </c>
      <c r="I78" s="5" t="s">
        <v>371</v>
      </c>
      <c r="J78" s="5" t="s">
        <v>371</v>
      </c>
      <c r="K78" s="5" t="s">
        <v>371</v>
      </c>
      <c r="L78" s="5" t="s">
        <v>371</v>
      </c>
      <c r="M78" s="5" t="s">
        <v>371</v>
      </c>
      <c r="N78" s="38">
        <v>207</v>
      </c>
      <c r="O78" s="38">
        <v>58.9</v>
      </c>
      <c r="P78" s="4">
        <f t="shared" si="35"/>
        <v>0.28454106280193237</v>
      </c>
      <c r="Q78" s="11">
        <v>20</v>
      </c>
      <c r="R78" s="11">
        <v>1</v>
      </c>
      <c r="S78" s="11">
        <v>15</v>
      </c>
      <c r="T78" s="38">
        <v>145</v>
      </c>
      <c r="U78" s="38">
        <v>123.9</v>
      </c>
      <c r="V78" s="4">
        <f t="shared" si="36"/>
        <v>0.85448275862068968</v>
      </c>
      <c r="W78" s="11">
        <v>30</v>
      </c>
      <c r="X78" s="38">
        <v>2</v>
      </c>
      <c r="Y78" s="38">
        <v>2.1</v>
      </c>
      <c r="Z78" s="4">
        <f t="shared" si="37"/>
        <v>1.05</v>
      </c>
      <c r="AA78" s="11">
        <v>20</v>
      </c>
      <c r="AB78" s="50">
        <f t="shared" si="43"/>
        <v>0.78091971558080608</v>
      </c>
      <c r="AC78" s="50">
        <f t="shared" si="44"/>
        <v>0.78091971558080608</v>
      </c>
      <c r="AD78" s="51">
        <v>1726</v>
      </c>
      <c r="AE78" s="38">
        <f t="shared" si="38"/>
        <v>156.90909090909091</v>
      </c>
      <c r="AF78" s="38">
        <f t="shared" si="39"/>
        <v>122.5</v>
      </c>
      <c r="AG78" s="38">
        <f t="shared" si="40"/>
        <v>-34.409090909090907</v>
      </c>
      <c r="AH78" s="38">
        <v>-10.3</v>
      </c>
      <c r="AI78" s="38">
        <f t="shared" si="41"/>
        <v>112.2</v>
      </c>
      <c r="AJ78" s="38"/>
      <c r="AK78" s="38">
        <f t="shared" si="42"/>
        <v>112.2</v>
      </c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10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10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10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10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10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10"/>
      <c r="GJ78" s="9"/>
      <c r="GK78" s="9"/>
    </row>
    <row r="79" spans="1:193" s="2" customFormat="1" ht="16.95" customHeight="1">
      <c r="A79" s="14" t="s">
        <v>79</v>
      </c>
      <c r="B79" s="38">
        <v>688</v>
      </c>
      <c r="C79" s="38">
        <v>490.9</v>
      </c>
      <c r="D79" s="4">
        <f t="shared" si="34"/>
        <v>0.71351744186046506</v>
      </c>
      <c r="E79" s="11">
        <v>10</v>
      </c>
      <c r="F79" s="5" t="s">
        <v>371</v>
      </c>
      <c r="G79" s="5" t="s">
        <v>371</v>
      </c>
      <c r="H79" s="5" t="s">
        <v>371</v>
      </c>
      <c r="I79" s="5" t="s">
        <v>371</v>
      </c>
      <c r="J79" s="5" t="s">
        <v>371</v>
      </c>
      <c r="K79" s="5" t="s">
        <v>371</v>
      </c>
      <c r="L79" s="5" t="s">
        <v>371</v>
      </c>
      <c r="M79" s="5" t="s">
        <v>371</v>
      </c>
      <c r="N79" s="38">
        <v>241.3</v>
      </c>
      <c r="O79" s="38">
        <v>106.4</v>
      </c>
      <c r="P79" s="4">
        <f t="shared" si="35"/>
        <v>0.44094488188976377</v>
      </c>
      <c r="Q79" s="11">
        <v>20</v>
      </c>
      <c r="R79" s="11">
        <v>1</v>
      </c>
      <c r="S79" s="11">
        <v>15</v>
      </c>
      <c r="T79" s="38">
        <v>15</v>
      </c>
      <c r="U79" s="38">
        <v>16</v>
      </c>
      <c r="V79" s="4">
        <f t="shared" si="36"/>
        <v>1.0666666666666667</v>
      </c>
      <c r="W79" s="11">
        <v>25</v>
      </c>
      <c r="X79" s="38">
        <v>3</v>
      </c>
      <c r="Y79" s="38">
        <v>3.4</v>
      </c>
      <c r="Z79" s="4">
        <f t="shared" si="37"/>
        <v>1.1333333333333333</v>
      </c>
      <c r="AA79" s="11">
        <v>25</v>
      </c>
      <c r="AB79" s="50">
        <f t="shared" si="43"/>
        <v>0.90477970585684131</v>
      </c>
      <c r="AC79" s="50">
        <f t="shared" si="44"/>
        <v>0.90477970585684131</v>
      </c>
      <c r="AD79" s="51">
        <v>2009</v>
      </c>
      <c r="AE79" s="38">
        <f t="shared" si="38"/>
        <v>182.63636363636363</v>
      </c>
      <c r="AF79" s="38">
        <f t="shared" si="39"/>
        <v>165.2</v>
      </c>
      <c r="AG79" s="38">
        <f t="shared" si="40"/>
        <v>-17.436363636363637</v>
      </c>
      <c r="AH79" s="38">
        <v>-11.4</v>
      </c>
      <c r="AI79" s="38">
        <f t="shared" si="41"/>
        <v>153.79999999999998</v>
      </c>
      <c r="AJ79" s="38"/>
      <c r="AK79" s="38">
        <f t="shared" si="42"/>
        <v>153.80000000000001</v>
      </c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0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10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10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10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10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10"/>
      <c r="GJ79" s="9"/>
      <c r="GK79" s="9"/>
    </row>
    <row r="80" spans="1:193" s="2" customFormat="1" ht="16.95" customHeight="1">
      <c r="A80" s="14" t="s">
        <v>80</v>
      </c>
      <c r="B80" s="38">
        <v>275</v>
      </c>
      <c r="C80" s="38">
        <v>368</v>
      </c>
      <c r="D80" s="4">
        <f t="shared" si="34"/>
        <v>1.3381818181818181</v>
      </c>
      <c r="E80" s="11">
        <v>10</v>
      </c>
      <c r="F80" s="5" t="s">
        <v>371</v>
      </c>
      <c r="G80" s="5" t="s">
        <v>371</v>
      </c>
      <c r="H80" s="5" t="s">
        <v>371</v>
      </c>
      <c r="I80" s="5" t="s">
        <v>371</v>
      </c>
      <c r="J80" s="5" t="s">
        <v>371</v>
      </c>
      <c r="K80" s="5" t="s">
        <v>371</v>
      </c>
      <c r="L80" s="5" t="s">
        <v>371</v>
      </c>
      <c r="M80" s="5" t="s">
        <v>371</v>
      </c>
      <c r="N80" s="38">
        <v>407</v>
      </c>
      <c r="O80" s="38">
        <v>61.5</v>
      </c>
      <c r="P80" s="4">
        <f t="shared" si="35"/>
        <v>0.15110565110565111</v>
      </c>
      <c r="Q80" s="11">
        <v>20</v>
      </c>
      <c r="R80" s="11">
        <v>1</v>
      </c>
      <c r="S80" s="11">
        <v>15</v>
      </c>
      <c r="T80" s="38">
        <v>9</v>
      </c>
      <c r="U80" s="38">
        <v>9.3000000000000007</v>
      </c>
      <c r="V80" s="4">
        <f t="shared" si="36"/>
        <v>1.0333333333333334</v>
      </c>
      <c r="W80" s="11">
        <v>20</v>
      </c>
      <c r="X80" s="38">
        <v>9</v>
      </c>
      <c r="Y80" s="38">
        <v>9.6</v>
      </c>
      <c r="Z80" s="4">
        <f t="shared" si="37"/>
        <v>1.0666666666666667</v>
      </c>
      <c r="AA80" s="11">
        <v>30</v>
      </c>
      <c r="AB80" s="50">
        <f t="shared" si="43"/>
        <v>0.88495366179576718</v>
      </c>
      <c r="AC80" s="50">
        <f t="shared" si="44"/>
        <v>0.88495366179576718</v>
      </c>
      <c r="AD80" s="51">
        <v>746</v>
      </c>
      <c r="AE80" s="38">
        <f t="shared" si="38"/>
        <v>67.818181818181813</v>
      </c>
      <c r="AF80" s="38">
        <f t="shared" si="39"/>
        <v>60</v>
      </c>
      <c r="AG80" s="38">
        <f t="shared" si="40"/>
        <v>-7.818181818181813</v>
      </c>
      <c r="AH80" s="38">
        <v>-14</v>
      </c>
      <c r="AI80" s="38">
        <f t="shared" si="41"/>
        <v>46</v>
      </c>
      <c r="AJ80" s="38"/>
      <c r="AK80" s="38">
        <f t="shared" si="42"/>
        <v>46</v>
      </c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0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10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10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10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10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10"/>
      <c r="GJ80" s="9"/>
      <c r="GK80" s="9"/>
    </row>
    <row r="81" spans="1:193" s="2" customFormat="1" ht="16.95" customHeight="1">
      <c r="A81" s="19" t="s">
        <v>81</v>
      </c>
      <c r="B81" s="7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10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10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10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10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10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10"/>
      <c r="GJ81" s="9"/>
      <c r="GK81" s="9"/>
    </row>
    <row r="82" spans="1:193" s="2" customFormat="1" ht="16.95" customHeight="1">
      <c r="A82" s="14" t="s">
        <v>82</v>
      </c>
      <c r="B82" s="38">
        <v>3458</v>
      </c>
      <c r="C82" s="38">
        <v>4175</v>
      </c>
      <c r="D82" s="4">
        <f t="shared" si="34"/>
        <v>1.2073452862926548</v>
      </c>
      <c r="E82" s="11">
        <v>10</v>
      </c>
      <c r="F82" s="5" t="s">
        <v>371</v>
      </c>
      <c r="G82" s="5" t="s">
        <v>371</v>
      </c>
      <c r="H82" s="5" t="s">
        <v>371</v>
      </c>
      <c r="I82" s="5" t="s">
        <v>371</v>
      </c>
      <c r="J82" s="5" t="s">
        <v>371</v>
      </c>
      <c r="K82" s="5" t="s">
        <v>371</v>
      </c>
      <c r="L82" s="5" t="s">
        <v>371</v>
      </c>
      <c r="M82" s="5" t="s">
        <v>371</v>
      </c>
      <c r="N82" s="38">
        <v>1843.8</v>
      </c>
      <c r="O82" s="38">
        <v>1585.6</v>
      </c>
      <c r="P82" s="4">
        <f t="shared" si="35"/>
        <v>0.85996311964421301</v>
      </c>
      <c r="Q82" s="11">
        <v>20</v>
      </c>
      <c r="R82" s="11">
        <v>1</v>
      </c>
      <c r="S82" s="11">
        <v>15</v>
      </c>
      <c r="T82" s="38">
        <v>44</v>
      </c>
      <c r="U82" s="38">
        <v>50.7</v>
      </c>
      <c r="V82" s="4">
        <f t="shared" si="36"/>
        <v>1.1522727272727273</v>
      </c>
      <c r="W82" s="11">
        <v>15</v>
      </c>
      <c r="X82" s="38">
        <v>11</v>
      </c>
      <c r="Y82" s="38">
        <v>13.1</v>
      </c>
      <c r="Z82" s="4">
        <f t="shared" si="37"/>
        <v>1.1909090909090909</v>
      </c>
      <c r="AA82" s="11">
        <v>35</v>
      </c>
      <c r="AB82" s="50">
        <f t="shared" si="43"/>
        <v>1.0867223615444199</v>
      </c>
      <c r="AC82" s="50">
        <f t="shared" si="44"/>
        <v>1.0867223615444199</v>
      </c>
      <c r="AD82" s="51">
        <v>1200</v>
      </c>
      <c r="AE82" s="38">
        <f t="shared" si="38"/>
        <v>109.09090909090909</v>
      </c>
      <c r="AF82" s="38">
        <f t="shared" si="39"/>
        <v>118.6</v>
      </c>
      <c r="AG82" s="38">
        <f t="shared" si="40"/>
        <v>9.5090909090909008</v>
      </c>
      <c r="AH82" s="38">
        <v>24.3</v>
      </c>
      <c r="AI82" s="38">
        <f t="shared" si="41"/>
        <v>142.9</v>
      </c>
      <c r="AJ82" s="38"/>
      <c r="AK82" s="38">
        <f t="shared" si="42"/>
        <v>142.9</v>
      </c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0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10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10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10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10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10"/>
      <c r="GJ82" s="9"/>
      <c r="GK82" s="9"/>
    </row>
    <row r="83" spans="1:193" s="2" customFormat="1" ht="16.95" customHeight="1">
      <c r="A83" s="53" t="s">
        <v>83</v>
      </c>
      <c r="B83" s="38">
        <v>11211</v>
      </c>
      <c r="C83" s="38">
        <v>10978</v>
      </c>
      <c r="D83" s="4">
        <f t="shared" si="34"/>
        <v>0.9792168406029792</v>
      </c>
      <c r="E83" s="11">
        <v>10</v>
      </c>
      <c r="F83" s="5" t="s">
        <v>371</v>
      </c>
      <c r="G83" s="5" t="s">
        <v>371</v>
      </c>
      <c r="H83" s="5" t="s">
        <v>371</v>
      </c>
      <c r="I83" s="5" t="s">
        <v>371</v>
      </c>
      <c r="J83" s="5" t="s">
        <v>371</v>
      </c>
      <c r="K83" s="5" t="s">
        <v>371</v>
      </c>
      <c r="L83" s="5" t="s">
        <v>371</v>
      </c>
      <c r="M83" s="5" t="s">
        <v>371</v>
      </c>
      <c r="N83" s="38">
        <v>1558</v>
      </c>
      <c r="O83" s="38">
        <v>1282.5</v>
      </c>
      <c r="P83" s="4">
        <f t="shared" si="35"/>
        <v>0.82317073170731703</v>
      </c>
      <c r="Q83" s="11">
        <v>20</v>
      </c>
      <c r="R83" s="11">
        <v>1</v>
      </c>
      <c r="S83" s="11">
        <v>15</v>
      </c>
      <c r="T83" s="38">
        <v>190.8</v>
      </c>
      <c r="U83" s="38">
        <v>220.2</v>
      </c>
      <c r="V83" s="4">
        <f t="shared" si="36"/>
        <v>1.1540880503144653</v>
      </c>
      <c r="W83" s="11">
        <v>25</v>
      </c>
      <c r="X83" s="38">
        <v>9</v>
      </c>
      <c r="Y83" s="38">
        <v>10.7</v>
      </c>
      <c r="Z83" s="4">
        <f t="shared" si="37"/>
        <v>1.1888888888888889</v>
      </c>
      <c r="AA83" s="11">
        <v>25</v>
      </c>
      <c r="AB83" s="50">
        <f t="shared" si="43"/>
        <v>1.0508421738974736</v>
      </c>
      <c r="AC83" s="50">
        <f t="shared" si="44"/>
        <v>1.0508421738974736</v>
      </c>
      <c r="AD83" s="51">
        <v>782</v>
      </c>
      <c r="AE83" s="38">
        <f t="shared" si="38"/>
        <v>71.090909090909093</v>
      </c>
      <c r="AF83" s="38">
        <f t="shared" si="39"/>
        <v>74.7</v>
      </c>
      <c r="AG83" s="38">
        <f t="shared" si="40"/>
        <v>3.6090909090909093</v>
      </c>
      <c r="AH83" s="38">
        <v>-2.8</v>
      </c>
      <c r="AI83" s="38">
        <f t="shared" si="41"/>
        <v>71.900000000000006</v>
      </c>
      <c r="AJ83" s="38">
        <f>MIN($AI83,707.9)</f>
        <v>71.900000000000006</v>
      </c>
      <c r="AK83" s="38">
        <f t="shared" si="42"/>
        <v>0</v>
      </c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10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10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10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10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10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10"/>
      <c r="GJ83" s="9"/>
      <c r="GK83" s="9"/>
    </row>
    <row r="84" spans="1:193" s="2" customFormat="1" ht="16.95" customHeight="1">
      <c r="A84" s="14" t="s">
        <v>84</v>
      </c>
      <c r="B84" s="38">
        <v>110</v>
      </c>
      <c r="C84" s="38">
        <v>22</v>
      </c>
      <c r="D84" s="4">
        <f t="shared" si="34"/>
        <v>0.2</v>
      </c>
      <c r="E84" s="11">
        <v>10</v>
      </c>
      <c r="F84" s="5" t="s">
        <v>371</v>
      </c>
      <c r="G84" s="5" t="s">
        <v>371</v>
      </c>
      <c r="H84" s="5" t="s">
        <v>371</v>
      </c>
      <c r="I84" s="5" t="s">
        <v>371</v>
      </c>
      <c r="J84" s="5" t="s">
        <v>371</v>
      </c>
      <c r="K84" s="5" t="s">
        <v>371</v>
      </c>
      <c r="L84" s="5" t="s">
        <v>371</v>
      </c>
      <c r="M84" s="5" t="s">
        <v>371</v>
      </c>
      <c r="N84" s="38">
        <v>81.2</v>
      </c>
      <c r="O84" s="38">
        <v>448</v>
      </c>
      <c r="P84" s="4">
        <f t="shared" si="35"/>
        <v>5.5172413793103443</v>
      </c>
      <c r="Q84" s="11">
        <v>20</v>
      </c>
      <c r="R84" s="11">
        <v>1</v>
      </c>
      <c r="S84" s="11">
        <v>15</v>
      </c>
      <c r="T84" s="38">
        <v>54</v>
      </c>
      <c r="U84" s="38">
        <v>61.2</v>
      </c>
      <c r="V84" s="4">
        <f t="shared" si="36"/>
        <v>1.1333333333333333</v>
      </c>
      <c r="W84" s="11">
        <v>20</v>
      </c>
      <c r="X84" s="38">
        <v>12</v>
      </c>
      <c r="Y84" s="38">
        <v>14.3</v>
      </c>
      <c r="Z84" s="4">
        <f t="shared" si="37"/>
        <v>1.1916666666666667</v>
      </c>
      <c r="AA84" s="11">
        <v>30</v>
      </c>
      <c r="AB84" s="50">
        <f t="shared" si="43"/>
        <v>1.9553841500302478</v>
      </c>
      <c r="AC84" s="50">
        <f t="shared" si="44"/>
        <v>1.2755384150030247</v>
      </c>
      <c r="AD84" s="51">
        <v>1504</v>
      </c>
      <c r="AE84" s="38">
        <f t="shared" si="38"/>
        <v>136.72727272727272</v>
      </c>
      <c r="AF84" s="38">
        <f t="shared" si="39"/>
        <v>174.4</v>
      </c>
      <c r="AG84" s="38">
        <f t="shared" si="40"/>
        <v>37.672727272727286</v>
      </c>
      <c r="AH84" s="38">
        <v>-8.6</v>
      </c>
      <c r="AI84" s="38">
        <f t="shared" si="41"/>
        <v>165.8</v>
      </c>
      <c r="AJ84" s="38"/>
      <c r="AK84" s="38">
        <f t="shared" si="42"/>
        <v>165.8</v>
      </c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10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10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10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10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10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10"/>
      <c r="GJ84" s="9"/>
      <c r="GK84" s="9"/>
    </row>
    <row r="85" spans="1:193" s="2" customFormat="1" ht="16.95" customHeight="1">
      <c r="A85" s="14" t="s">
        <v>85</v>
      </c>
      <c r="B85" s="38">
        <v>498</v>
      </c>
      <c r="C85" s="38">
        <v>353</v>
      </c>
      <c r="D85" s="4">
        <f t="shared" si="34"/>
        <v>0.70883534136546189</v>
      </c>
      <c r="E85" s="11">
        <v>10</v>
      </c>
      <c r="F85" s="5" t="s">
        <v>371</v>
      </c>
      <c r="G85" s="5" t="s">
        <v>371</v>
      </c>
      <c r="H85" s="5" t="s">
        <v>371</v>
      </c>
      <c r="I85" s="5" t="s">
        <v>371</v>
      </c>
      <c r="J85" s="5" t="s">
        <v>371</v>
      </c>
      <c r="K85" s="5" t="s">
        <v>371</v>
      </c>
      <c r="L85" s="5" t="s">
        <v>371</v>
      </c>
      <c r="M85" s="5" t="s">
        <v>371</v>
      </c>
      <c r="N85" s="38">
        <v>219</v>
      </c>
      <c r="O85" s="38">
        <v>182.4</v>
      </c>
      <c r="P85" s="4">
        <f t="shared" si="35"/>
        <v>0.83287671232876714</v>
      </c>
      <c r="Q85" s="11">
        <v>20</v>
      </c>
      <c r="R85" s="11">
        <v>1</v>
      </c>
      <c r="S85" s="11">
        <v>15</v>
      </c>
      <c r="T85" s="38">
        <v>159</v>
      </c>
      <c r="U85" s="38">
        <v>186</v>
      </c>
      <c r="V85" s="4">
        <f t="shared" si="36"/>
        <v>1.1698113207547169</v>
      </c>
      <c r="W85" s="11">
        <v>25</v>
      </c>
      <c r="X85" s="38">
        <v>9</v>
      </c>
      <c r="Y85" s="38">
        <v>10.8</v>
      </c>
      <c r="Z85" s="4">
        <f t="shared" si="37"/>
        <v>1.2000000000000002</v>
      </c>
      <c r="AA85" s="11">
        <v>25</v>
      </c>
      <c r="AB85" s="50">
        <f t="shared" si="43"/>
        <v>1.0314860071483987</v>
      </c>
      <c r="AC85" s="50">
        <f t="shared" si="44"/>
        <v>1.0314860071483987</v>
      </c>
      <c r="AD85" s="51">
        <v>1563</v>
      </c>
      <c r="AE85" s="38">
        <f t="shared" si="38"/>
        <v>142.09090909090909</v>
      </c>
      <c r="AF85" s="38">
        <f t="shared" si="39"/>
        <v>146.6</v>
      </c>
      <c r="AG85" s="38">
        <f t="shared" si="40"/>
        <v>4.5090909090909008</v>
      </c>
      <c r="AH85" s="38">
        <v>-17.3</v>
      </c>
      <c r="AI85" s="38">
        <f t="shared" si="41"/>
        <v>129.29999999999998</v>
      </c>
      <c r="AJ85" s="38"/>
      <c r="AK85" s="38">
        <f t="shared" si="42"/>
        <v>129.30000000000001</v>
      </c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10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10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10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10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10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10"/>
      <c r="GJ85" s="9"/>
      <c r="GK85" s="9"/>
    </row>
    <row r="86" spans="1:193" s="2" customFormat="1" ht="16.95" customHeight="1">
      <c r="A86" s="14" t="s">
        <v>86</v>
      </c>
      <c r="B86" s="38">
        <v>96</v>
      </c>
      <c r="C86" s="38">
        <v>24</v>
      </c>
      <c r="D86" s="4">
        <f t="shared" si="34"/>
        <v>0.25</v>
      </c>
      <c r="E86" s="11">
        <v>10</v>
      </c>
      <c r="F86" s="5" t="s">
        <v>371</v>
      </c>
      <c r="G86" s="5" t="s">
        <v>371</v>
      </c>
      <c r="H86" s="5" t="s">
        <v>371</v>
      </c>
      <c r="I86" s="5" t="s">
        <v>371</v>
      </c>
      <c r="J86" s="5" t="s">
        <v>371</v>
      </c>
      <c r="K86" s="5" t="s">
        <v>371</v>
      </c>
      <c r="L86" s="5" t="s">
        <v>371</v>
      </c>
      <c r="M86" s="5" t="s">
        <v>371</v>
      </c>
      <c r="N86" s="38">
        <v>23.7</v>
      </c>
      <c r="O86" s="38">
        <v>32.6</v>
      </c>
      <c r="P86" s="4">
        <f t="shared" si="35"/>
        <v>1.3755274261603376</v>
      </c>
      <c r="Q86" s="11">
        <v>20</v>
      </c>
      <c r="R86" s="11">
        <v>1</v>
      </c>
      <c r="S86" s="11">
        <v>15</v>
      </c>
      <c r="T86" s="38">
        <v>50.9</v>
      </c>
      <c r="U86" s="38">
        <v>58.8</v>
      </c>
      <c r="V86" s="4">
        <f t="shared" si="36"/>
        <v>1.155206286836935</v>
      </c>
      <c r="W86" s="11">
        <v>20</v>
      </c>
      <c r="X86" s="38">
        <v>9</v>
      </c>
      <c r="Y86" s="38">
        <v>10.7</v>
      </c>
      <c r="Z86" s="4">
        <f t="shared" si="37"/>
        <v>1.1888888888888889</v>
      </c>
      <c r="AA86" s="11">
        <v>30</v>
      </c>
      <c r="AB86" s="50">
        <f t="shared" si="43"/>
        <v>1.0924351676485484</v>
      </c>
      <c r="AC86" s="50">
        <f t="shared" si="44"/>
        <v>1.0924351676485484</v>
      </c>
      <c r="AD86" s="51">
        <v>1448</v>
      </c>
      <c r="AE86" s="38">
        <f t="shared" si="38"/>
        <v>131.63636363636363</v>
      </c>
      <c r="AF86" s="38">
        <f t="shared" si="39"/>
        <v>143.80000000000001</v>
      </c>
      <c r="AG86" s="38">
        <f t="shared" si="40"/>
        <v>12.163636363636385</v>
      </c>
      <c r="AH86" s="38">
        <v>-7.3</v>
      </c>
      <c r="AI86" s="38">
        <f t="shared" si="41"/>
        <v>136.5</v>
      </c>
      <c r="AJ86" s="38"/>
      <c r="AK86" s="38">
        <f t="shared" si="42"/>
        <v>136.5</v>
      </c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0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10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10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10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10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10"/>
      <c r="GJ86" s="9"/>
      <c r="GK86" s="9"/>
    </row>
    <row r="87" spans="1:193" s="2" customFormat="1" ht="16.95" customHeight="1">
      <c r="A87" s="14" t="s">
        <v>87</v>
      </c>
      <c r="B87" s="38">
        <v>39</v>
      </c>
      <c r="C87" s="38">
        <v>29</v>
      </c>
      <c r="D87" s="4">
        <f t="shared" si="34"/>
        <v>0.74358974358974361</v>
      </c>
      <c r="E87" s="11">
        <v>10</v>
      </c>
      <c r="F87" s="5" t="s">
        <v>371</v>
      </c>
      <c r="G87" s="5" t="s">
        <v>371</v>
      </c>
      <c r="H87" s="5" t="s">
        <v>371</v>
      </c>
      <c r="I87" s="5" t="s">
        <v>371</v>
      </c>
      <c r="J87" s="5" t="s">
        <v>371</v>
      </c>
      <c r="K87" s="5" t="s">
        <v>371</v>
      </c>
      <c r="L87" s="5" t="s">
        <v>371</v>
      </c>
      <c r="M87" s="5" t="s">
        <v>371</v>
      </c>
      <c r="N87" s="38">
        <v>80.900000000000006</v>
      </c>
      <c r="O87" s="38">
        <v>56.7</v>
      </c>
      <c r="P87" s="4">
        <f t="shared" si="35"/>
        <v>0.70086526576019781</v>
      </c>
      <c r="Q87" s="11">
        <v>20</v>
      </c>
      <c r="R87" s="11">
        <v>1</v>
      </c>
      <c r="S87" s="11">
        <v>15</v>
      </c>
      <c r="T87" s="38">
        <v>220.9</v>
      </c>
      <c r="U87" s="38">
        <v>258.39999999999998</v>
      </c>
      <c r="V87" s="4">
        <f t="shared" si="36"/>
        <v>1.169760072430964</v>
      </c>
      <c r="W87" s="11">
        <v>30</v>
      </c>
      <c r="X87" s="38">
        <v>9</v>
      </c>
      <c r="Y87" s="38">
        <v>10.7</v>
      </c>
      <c r="Z87" s="4">
        <f t="shared" si="37"/>
        <v>1.1888888888888889</v>
      </c>
      <c r="AA87" s="11">
        <v>20</v>
      </c>
      <c r="AB87" s="50">
        <f t="shared" si="43"/>
        <v>1.003408238966401</v>
      </c>
      <c r="AC87" s="50">
        <f t="shared" si="44"/>
        <v>1.003408238966401</v>
      </c>
      <c r="AD87" s="51">
        <v>1031</v>
      </c>
      <c r="AE87" s="38">
        <f t="shared" si="38"/>
        <v>93.727272727272734</v>
      </c>
      <c r="AF87" s="38">
        <f t="shared" si="39"/>
        <v>94</v>
      </c>
      <c r="AG87" s="38">
        <f t="shared" si="40"/>
        <v>0.27272727272726627</v>
      </c>
      <c r="AH87" s="38">
        <v>-4.4000000000000004</v>
      </c>
      <c r="AI87" s="38">
        <f t="shared" si="41"/>
        <v>89.6</v>
      </c>
      <c r="AJ87" s="38"/>
      <c r="AK87" s="38">
        <f t="shared" si="42"/>
        <v>89.6</v>
      </c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0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0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10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10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10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10"/>
      <c r="GJ87" s="9"/>
      <c r="GK87" s="9"/>
    </row>
    <row r="88" spans="1:193" s="2" customFormat="1" ht="16.95" customHeight="1">
      <c r="A88" s="14" t="s">
        <v>88</v>
      </c>
      <c r="B88" s="38">
        <v>40</v>
      </c>
      <c r="C88" s="38">
        <v>15</v>
      </c>
      <c r="D88" s="4">
        <f t="shared" si="34"/>
        <v>0.375</v>
      </c>
      <c r="E88" s="11">
        <v>10</v>
      </c>
      <c r="F88" s="5" t="s">
        <v>371</v>
      </c>
      <c r="G88" s="5" t="s">
        <v>371</v>
      </c>
      <c r="H88" s="5" t="s">
        <v>371</v>
      </c>
      <c r="I88" s="5" t="s">
        <v>371</v>
      </c>
      <c r="J88" s="5" t="s">
        <v>371</v>
      </c>
      <c r="K88" s="5" t="s">
        <v>371</v>
      </c>
      <c r="L88" s="5" t="s">
        <v>371</v>
      </c>
      <c r="M88" s="5" t="s">
        <v>371</v>
      </c>
      <c r="N88" s="38">
        <v>96.3</v>
      </c>
      <c r="O88" s="38">
        <v>63.8</v>
      </c>
      <c r="P88" s="4">
        <f t="shared" si="35"/>
        <v>0.66251298026998962</v>
      </c>
      <c r="Q88" s="11">
        <v>20</v>
      </c>
      <c r="R88" s="11">
        <v>1</v>
      </c>
      <c r="S88" s="11">
        <v>15</v>
      </c>
      <c r="T88" s="38">
        <v>28.8</v>
      </c>
      <c r="U88" s="38">
        <v>33.299999999999997</v>
      </c>
      <c r="V88" s="4">
        <f t="shared" si="36"/>
        <v>1.1562499999999998</v>
      </c>
      <c r="W88" s="11">
        <v>25</v>
      </c>
      <c r="X88" s="38">
        <v>3</v>
      </c>
      <c r="Y88" s="38">
        <v>3.6</v>
      </c>
      <c r="Z88" s="4">
        <f t="shared" si="37"/>
        <v>1.2</v>
      </c>
      <c r="AA88" s="11">
        <v>25</v>
      </c>
      <c r="AB88" s="50">
        <f t="shared" si="43"/>
        <v>0.95691062742526078</v>
      </c>
      <c r="AC88" s="50">
        <f t="shared" si="44"/>
        <v>0.95691062742526078</v>
      </c>
      <c r="AD88" s="51">
        <v>577</v>
      </c>
      <c r="AE88" s="38">
        <f t="shared" si="38"/>
        <v>52.454545454545453</v>
      </c>
      <c r="AF88" s="38">
        <f t="shared" si="39"/>
        <v>50.2</v>
      </c>
      <c r="AG88" s="38">
        <f t="shared" si="40"/>
        <v>-2.2545454545454504</v>
      </c>
      <c r="AH88" s="38">
        <v>-2.9</v>
      </c>
      <c r="AI88" s="38">
        <f t="shared" si="41"/>
        <v>47.300000000000004</v>
      </c>
      <c r="AJ88" s="38"/>
      <c r="AK88" s="38">
        <f t="shared" si="42"/>
        <v>47.3</v>
      </c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0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10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10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10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10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10"/>
      <c r="GJ88" s="9"/>
      <c r="GK88" s="9"/>
    </row>
    <row r="89" spans="1:193" s="2" customFormat="1" ht="16.95" customHeight="1">
      <c r="A89" s="14" t="s">
        <v>89</v>
      </c>
      <c r="B89" s="38">
        <v>30</v>
      </c>
      <c r="C89" s="38">
        <v>25</v>
      </c>
      <c r="D89" s="4">
        <f t="shared" si="34"/>
        <v>0.83333333333333337</v>
      </c>
      <c r="E89" s="11">
        <v>10</v>
      </c>
      <c r="F89" s="5" t="s">
        <v>371</v>
      </c>
      <c r="G89" s="5" t="s">
        <v>371</v>
      </c>
      <c r="H89" s="5" t="s">
        <v>371</v>
      </c>
      <c r="I89" s="5" t="s">
        <v>371</v>
      </c>
      <c r="J89" s="5" t="s">
        <v>371</v>
      </c>
      <c r="K89" s="5" t="s">
        <v>371</v>
      </c>
      <c r="L89" s="5" t="s">
        <v>371</v>
      </c>
      <c r="M89" s="5" t="s">
        <v>371</v>
      </c>
      <c r="N89" s="38">
        <v>52.2</v>
      </c>
      <c r="O89" s="38">
        <v>56.6</v>
      </c>
      <c r="P89" s="4">
        <f t="shared" si="35"/>
        <v>1.0842911877394636</v>
      </c>
      <c r="Q89" s="11">
        <v>20</v>
      </c>
      <c r="R89" s="11">
        <v>1</v>
      </c>
      <c r="S89" s="11">
        <v>15</v>
      </c>
      <c r="T89" s="38">
        <v>50</v>
      </c>
      <c r="U89" s="38">
        <v>57.1</v>
      </c>
      <c r="V89" s="4">
        <f t="shared" si="36"/>
        <v>1.1420000000000001</v>
      </c>
      <c r="W89" s="11">
        <v>25</v>
      </c>
      <c r="X89" s="38">
        <v>6</v>
      </c>
      <c r="Y89" s="38">
        <v>7.1</v>
      </c>
      <c r="Z89" s="4">
        <f t="shared" si="37"/>
        <v>1.1833333333333333</v>
      </c>
      <c r="AA89" s="11">
        <v>25</v>
      </c>
      <c r="AB89" s="50">
        <f t="shared" si="43"/>
        <v>1.0858156886469046</v>
      </c>
      <c r="AC89" s="50">
        <f t="shared" si="44"/>
        <v>1.0858156886469046</v>
      </c>
      <c r="AD89" s="51">
        <v>1642</v>
      </c>
      <c r="AE89" s="38">
        <f t="shared" si="38"/>
        <v>149.27272727272728</v>
      </c>
      <c r="AF89" s="38">
        <f t="shared" si="39"/>
        <v>162.1</v>
      </c>
      <c r="AG89" s="38">
        <f t="shared" si="40"/>
        <v>12.827272727272714</v>
      </c>
      <c r="AH89" s="38">
        <v>-15.6</v>
      </c>
      <c r="AI89" s="38">
        <f t="shared" si="41"/>
        <v>146.5</v>
      </c>
      <c r="AJ89" s="38"/>
      <c r="AK89" s="38">
        <f t="shared" si="42"/>
        <v>146.5</v>
      </c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0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10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10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10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10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10"/>
      <c r="GJ89" s="9"/>
      <c r="GK89" s="9"/>
    </row>
    <row r="90" spans="1:193" s="2" customFormat="1" ht="16.95" customHeight="1">
      <c r="A90" s="14" t="s">
        <v>90</v>
      </c>
      <c r="B90" s="38">
        <v>481</v>
      </c>
      <c r="C90" s="38">
        <v>28</v>
      </c>
      <c r="D90" s="4">
        <f t="shared" si="34"/>
        <v>5.8212058212058215E-2</v>
      </c>
      <c r="E90" s="11">
        <v>10</v>
      </c>
      <c r="F90" s="5" t="s">
        <v>371</v>
      </c>
      <c r="G90" s="5" t="s">
        <v>371</v>
      </c>
      <c r="H90" s="5" t="s">
        <v>371</v>
      </c>
      <c r="I90" s="5" t="s">
        <v>371</v>
      </c>
      <c r="J90" s="5" t="s">
        <v>371</v>
      </c>
      <c r="K90" s="5" t="s">
        <v>371</v>
      </c>
      <c r="L90" s="5" t="s">
        <v>371</v>
      </c>
      <c r="M90" s="5" t="s">
        <v>371</v>
      </c>
      <c r="N90" s="38">
        <v>41</v>
      </c>
      <c r="O90" s="38">
        <v>51.4</v>
      </c>
      <c r="P90" s="4">
        <f t="shared" si="35"/>
        <v>1.2536585365853659</v>
      </c>
      <c r="Q90" s="11">
        <v>20</v>
      </c>
      <c r="R90" s="11">
        <v>1</v>
      </c>
      <c r="S90" s="11">
        <v>15</v>
      </c>
      <c r="T90" s="38">
        <v>57</v>
      </c>
      <c r="U90" s="38">
        <v>65.8</v>
      </c>
      <c r="V90" s="4">
        <f t="shared" si="36"/>
        <v>1.1543859649122807</v>
      </c>
      <c r="W90" s="11">
        <v>30</v>
      </c>
      <c r="X90" s="38">
        <v>5</v>
      </c>
      <c r="Y90" s="38">
        <v>5.9</v>
      </c>
      <c r="Z90" s="4">
        <f t="shared" si="37"/>
        <v>1.1800000000000002</v>
      </c>
      <c r="AA90" s="11">
        <v>20</v>
      </c>
      <c r="AB90" s="50">
        <f t="shared" si="43"/>
        <v>1.0409144238020664</v>
      </c>
      <c r="AC90" s="50">
        <f t="shared" si="44"/>
        <v>1.0409144238020664</v>
      </c>
      <c r="AD90" s="51">
        <v>3236</v>
      </c>
      <c r="AE90" s="38">
        <f t="shared" si="38"/>
        <v>294.18181818181819</v>
      </c>
      <c r="AF90" s="38">
        <f t="shared" si="39"/>
        <v>306.2</v>
      </c>
      <c r="AG90" s="38">
        <f t="shared" si="40"/>
        <v>12.018181818181802</v>
      </c>
      <c r="AH90" s="38">
        <v>-10.1</v>
      </c>
      <c r="AI90" s="38">
        <f t="shared" si="41"/>
        <v>296.09999999999997</v>
      </c>
      <c r="AJ90" s="38"/>
      <c r="AK90" s="38">
        <f t="shared" si="42"/>
        <v>296.10000000000002</v>
      </c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10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10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10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10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10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10"/>
      <c r="GJ90" s="9"/>
      <c r="GK90" s="9"/>
    </row>
    <row r="91" spans="1:193" s="2" customFormat="1" ht="16.95" customHeight="1">
      <c r="A91" s="19" t="s">
        <v>91</v>
      </c>
      <c r="B91" s="7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10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10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10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10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10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10"/>
      <c r="GJ91" s="9"/>
      <c r="GK91" s="9"/>
    </row>
    <row r="92" spans="1:193" s="2" customFormat="1" ht="16.95" customHeight="1">
      <c r="A92" s="14" t="s">
        <v>92</v>
      </c>
      <c r="B92" s="38">
        <v>0</v>
      </c>
      <c r="C92" s="38">
        <v>0</v>
      </c>
      <c r="D92" s="4">
        <f t="shared" si="34"/>
        <v>0</v>
      </c>
      <c r="E92" s="11">
        <v>0</v>
      </c>
      <c r="F92" s="5" t="s">
        <v>371</v>
      </c>
      <c r="G92" s="5" t="s">
        <v>371</v>
      </c>
      <c r="H92" s="5" t="s">
        <v>371</v>
      </c>
      <c r="I92" s="5" t="s">
        <v>371</v>
      </c>
      <c r="J92" s="5" t="s">
        <v>371</v>
      </c>
      <c r="K92" s="5" t="s">
        <v>371</v>
      </c>
      <c r="L92" s="5" t="s">
        <v>371</v>
      </c>
      <c r="M92" s="5" t="s">
        <v>371</v>
      </c>
      <c r="N92" s="38">
        <v>39.200000000000003</v>
      </c>
      <c r="O92" s="38">
        <v>45.5</v>
      </c>
      <c r="P92" s="4">
        <f t="shared" si="35"/>
        <v>1.1607142857142856</v>
      </c>
      <c r="Q92" s="11">
        <v>20</v>
      </c>
      <c r="R92" s="11">
        <v>1</v>
      </c>
      <c r="S92" s="11">
        <v>15</v>
      </c>
      <c r="T92" s="38">
        <v>4</v>
      </c>
      <c r="U92" s="38">
        <v>4.2</v>
      </c>
      <c r="V92" s="4">
        <f t="shared" si="36"/>
        <v>1.05</v>
      </c>
      <c r="W92" s="11">
        <v>20</v>
      </c>
      <c r="X92" s="38">
        <v>0.5</v>
      </c>
      <c r="Y92" s="38">
        <v>0.6</v>
      </c>
      <c r="Z92" s="4">
        <f t="shared" si="37"/>
        <v>1.2</v>
      </c>
      <c r="AA92" s="11">
        <v>30</v>
      </c>
      <c r="AB92" s="50">
        <f t="shared" si="43"/>
        <v>1.1201680672268908</v>
      </c>
      <c r="AC92" s="50">
        <f t="shared" si="44"/>
        <v>1.1201680672268908</v>
      </c>
      <c r="AD92" s="51">
        <v>864</v>
      </c>
      <c r="AE92" s="38">
        <f t="shared" si="38"/>
        <v>78.545454545454547</v>
      </c>
      <c r="AF92" s="38">
        <f t="shared" si="39"/>
        <v>88</v>
      </c>
      <c r="AG92" s="38">
        <f t="shared" si="40"/>
        <v>9.4545454545454533</v>
      </c>
      <c r="AH92" s="38">
        <v>-0.2</v>
      </c>
      <c r="AI92" s="38">
        <f t="shared" si="41"/>
        <v>87.8</v>
      </c>
      <c r="AJ92" s="38"/>
      <c r="AK92" s="38">
        <f t="shared" si="42"/>
        <v>87.8</v>
      </c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10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10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10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10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10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10"/>
      <c r="GJ92" s="9"/>
      <c r="GK92" s="9"/>
    </row>
    <row r="93" spans="1:193" s="2" customFormat="1" ht="16.95" customHeight="1">
      <c r="A93" s="14" t="s">
        <v>93</v>
      </c>
      <c r="B93" s="38">
        <v>19000</v>
      </c>
      <c r="C93" s="38">
        <v>15916.5</v>
      </c>
      <c r="D93" s="4">
        <f t="shared" si="34"/>
        <v>0.83771052631578946</v>
      </c>
      <c r="E93" s="11">
        <v>10</v>
      </c>
      <c r="F93" s="5" t="s">
        <v>371</v>
      </c>
      <c r="G93" s="5" t="s">
        <v>371</v>
      </c>
      <c r="H93" s="5" t="s">
        <v>371</v>
      </c>
      <c r="I93" s="5" t="s">
        <v>371</v>
      </c>
      <c r="J93" s="5" t="s">
        <v>371</v>
      </c>
      <c r="K93" s="5" t="s">
        <v>371</v>
      </c>
      <c r="L93" s="5" t="s">
        <v>371</v>
      </c>
      <c r="M93" s="5" t="s">
        <v>371</v>
      </c>
      <c r="N93" s="38">
        <v>1471.7</v>
      </c>
      <c r="O93" s="38">
        <v>1132</v>
      </c>
      <c r="P93" s="4">
        <f t="shared" si="35"/>
        <v>0.76917850105320373</v>
      </c>
      <c r="Q93" s="11">
        <v>20</v>
      </c>
      <c r="R93" s="11">
        <v>1</v>
      </c>
      <c r="S93" s="11">
        <v>15</v>
      </c>
      <c r="T93" s="38">
        <v>12</v>
      </c>
      <c r="U93" s="38">
        <v>13.2</v>
      </c>
      <c r="V93" s="4">
        <f t="shared" si="36"/>
        <v>1.0999999999999999</v>
      </c>
      <c r="W93" s="11">
        <v>20</v>
      </c>
      <c r="X93" s="38">
        <v>1.1000000000000001</v>
      </c>
      <c r="Y93" s="38">
        <v>1.4</v>
      </c>
      <c r="Z93" s="4">
        <f t="shared" si="37"/>
        <v>1.2727272727272725</v>
      </c>
      <c r="AA93" s="11">
        <v>30</v>
      </c>
      <c r="AB93" s="50">
        <f t="shared" si="43"/>
        <v>1.041499931221475</v>
      </c>
      <c r="AC93" s="50">
        <f t="shared" si="44"/>
        <v>1.041499931221475</v>
      </c>
      <c r="AD93" s="51">
        <v>4613</v>
      </c>
      <c r="AE93" s="38">
        <f t="shared" si="38"/>
        <v>419.36363636363637</v>
      </c>
      <c r="AF93" s="38">
        <f t="shared" si="39"/>
        <v>436.8</v>
      </c>
      <c r="AG93" s="38">
        <f t="shared" si="40"/>
        <v>17.436363636363637</v>
      </c>
      <c r="AH93" s="38">
        <v>-4.4000000000000004</v>
      </c>
      <c r="AI93" s="38">
        <f t="shared" si="41"/>
        <v>432.40000000000003</v>
      </c>
      <c r="AJ93" s="38"/>
      <c r="AK93" s="38">
        <f t="shared" si="42"/>
        <v>432.4</v>
      </c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10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10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10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10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10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10"/>
      <c r="GJ93" s="9"/>
      <c r="GK93" s="9"/>
    </row>
    <row r="94" spans="1:193" s="2" customFormat="1" ht="16.95" customHeight="1">
      <c r="A94" s="14" t="s">
        <v>94</v>
      </c>
      <c r="B94" s="38">
        <v>0</v>
      </c>
      <c r="C94" s="38">
        <v>0</v>
      </c>
      <c r="D94" s="4">
        <f t="shared" si="34"/>
        <v>0</v>
      </c>
      <c r="E94" s="11">
        <v>0</v>
      </c>
      <c r="F94" s="5" t="s">
        <v>371</v>
      </c>
      <c r="G94" s="5" t="s">
        <v>371</v>
      </c>
      <c r="H94" s="5" t="s">
        <v>371</v>
      </c>
      <c r="I94" s="5" t="s">
        <v>371</v>
      </c>
      <c r="J94" s="5" t="s">
        <v>371</v>
      </c>
      <c r="K94" s="5" t="s">
        <v>371</v>
      </c>
      <c r="L94" s="5" t="s">
        <v>371</v>
      </c>
      <c r="M94" s="5" t="s">
        <v>371</v>
      </c>
      <c r="N94" s="38">
        <v>197.2</v>
      </c>
      <c r="O94" s="38">
        <v>106</v>
      </c>
      <c r="P94" s="4">
        <f t="shared" si="35"/>
        <v>0.5375253549695741</v>
      </c>
      <c r="Q94" s="11">
        <v>20</v>
      </c>
      <c r="R94" s="11">
        <v>1</v>
      </c>
      <c r="S94" s="11">
        <v>15</v>
      </c>
      <c r="T94" s="38">
        <v>22</v>
      </c>
      <c r="U94" s="38">
        <v>23.1</v>
      </c>
      <c r="V94" s="4">
        <f t="shared" si="36"/>
        <v>1.05</v>
      </c>
      <c r="W94" s="11">
        <v>20</v>
      </c>
      <c r="X94" s="38">
        <v>1.5</v>
      </c>
      <c r="Y94" s="38">
        <v>1.5</v>
      </c>
      <c r="Z94" s="4">
        <f t="shared" si="37"/>
        <v>1</v>
      </c>
      <c r="AA94" s="11">
        <v>30</v>
      </c>
      <c r="AB94" s="50">
        <f t="shared" si="43"/>
        <v>0.90294714234578222</v>
      </c>
      <c r="AC94" s="50">
        <f t="shared" si="44"/>
        <v>0.90294714234578222</v>
      </c>
      <c r="AD94" s="51">
        <v>1478</v>
      </c>
      <c r="AE94" s="38">
        <f t="shared" si="38"/>
        <v>134.36363636363637</v>
      </c>
      <c r="AF94" s="38">
        <f t="shared" si="39"/>
        <v>121.3</v>
      </c>
      <c r="AG94" s="38">
        <f t="shared" si="40"/>
        <v>-13.063636363636377</v>
      </c>
      <c r="AH94" s="38">
        <v>11.2</v>
      </c>
      <c r="AI94" s="38">
        <f t="shared" si="41"/>
        <v>132.5</v>
      </c>
      <c r="AJ94" s="38"/>
      <c r="AK94" s="38">
        <f t="shared" si="42"/>
        <v>132.5</v>
      </c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10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10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10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10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10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10"/>
      <c r="GJ94" s="9"/>
      <c r="GK94" s="9"/>
    </row>
    <row r="95" spans="1:193" s="2" customFormat="1" ht="16.95" customHeight="1">
      <c r="A95" s="14" t="s">
        <v>95</v>
      </c>
      <c r="B95" s="38">
        <v>0</v>
      </c>
      <c r="C95" s="38">
        <v>0</v>
      </c>
      <c r="D95" s="4">
        <f t="shared" si="34"/>
        <v>0</v>
      </c>
      <c r="E95" s="11">
        <v>0</v>
      </c>
      <c r="F95" s="5" t="s">
        <v>371</v>
      </c>
      <c r="G95" s="5" t="s">
        <v>371</v>
      </c>
      <c r="H95" s="5" t="s">
        <v>371</v>
      </c>
      <c r="I95" s="5" t="s">
        <v>371</v>
      </c>
      <c r="J95" s="5" t="s">
        <v>371</v>
      </c>
      <c r="K95" s="5" t="s">
        <v>371</v>
      </c>
      <c r="L95" s="5" t="s">
        <v>371</v>
      </c>
      <c r="M95" s="5" t="s">
        <v>371</v>
      </c>
      <c r="N95" s="38">
        <v>62.9</v>
      </c>
      <c r="O95" s="38">
        <v>17.2</v>
      </c>
      <c r="P95" s="4">
        <f t="shared" si="35"/>
        <v>0.27344992050874406</v>
      </c>
      <c r="Q95" s="11">
        <v>20</v>
      </c>
      <c r="R95" s="11">
        <v>1</v>
      </c>
      <c r="S95" s="11">
        <v>15</v>
      </c>
      <c r="T95" s="38">
        <v>12</v>
      </c>
      <c r="U95" s="38">
        <v>12.8</v>
      </c>
      <c r="V95" s="4">
        <f t="shared" si="36"/>
        <v>1.0666666666666667</v>
      </c>
      <c r="W95" s="11">
        <v>20</v>
      </c>
      <c r="X95" s="38">
        <v>1.5</v>
      </c>
      <c r="Y95" s="38">
        <v>1.7</v>
      </c>
      <c r="Z95" s="4">
        <f t="shared" si="37"/>
        <v>1.1333333333333333</v>
      </c>
      <c r="AA95" s="11">
        <v>30</v>
      </c>
      <c r="AB95" s="50">
        <f t="shared" si="43"/>
        <v>0.89179213815892022</v>
      </c>
      <c r="AC95" s="50">
        <f t="shared" si="44"/>
        <v>0.89179213815892022</v>
      </c>
      <c r="AD95" s="51">
        <v>678</v>
      </c>
      <c r="AE95" s="38">
        <f t="shared" si="38"/>
        <v>61.636363636363633</v>
      </c>
      <c r="AF95" s="38">
        <f t="shared" si="39"/>
        <v>55</v>
      </c>
      <c r="AG95" s="38">
        <f t="shared" si="40"/>
        <v>-6.6363636363636331</v>
      </c>
      <c r="AH95" s="38">
        <v>-0.4</v>
      </c>
      <c r="AI95" s="38">
        <f t="shared" si="41"/>
        <v>54.6</v>
      </c>
      <c r="AJ95" s="38"/>
      <c r="AK95" s="38">
        <f t="shared" si="42"/>
        <v>54.6</v>
      </c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10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10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10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10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10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10"/>
      <c r="GJ95" s="9"/>
      <c r="GK95" s="9"/>
    </row>
    <row r="96" spans="1:193" s="2" customFormat="1" ht="16.95" customHeight="1">
      <c r="A96" s="14" t="s">
        <v>96</v>
      </c>
      <c r="B96" s="38">
        <v>221</v>
      </c>
      <c r="C96" s="38">
        <v>214</v>
      </c>
      <c r="D96" s="4">
        <f t="shared" si="34"/>
        <v>0.96832579185520362</v>
      </c>
      <c r="E96" s="11">
        <v>10</v>
      </c>
      <c r="F96" s="5" t="s">
        <v>371</v>
      </c>
      <c r="G96" s="5" t="s">
        <v>371</v>
      </c>
      <c r="H96" s="5" t="s">
        <v>371</v>
      </c>
      <c r="I96" s="5" t="s">
        <v>371</v>
      </c>
      <c r="J96" s="5" t="s">
        <v>371</v>
      </c>
      <c r="K96" s="5" t="s">
        <v>371</v>
      </c>
      <c r="L96" s="5" t="s">
        <v>371</v>
      </c>
      <c r="M96" s="5" t="s">
        <v>371</v>
      </c>
      <c r="N96" s="38">
        <v>138.5</v>
      </c>
      <c r="O96" s="38">
        <v>74.099999999999994</v>
      </c>
      <c r="P96" s="4">
        <f t="shared" si="35"/>
        <v>0.53501805054151619</v>
      </c>
      <c r="Q96" s="11">
        <v>20</v>
      </c>
      <c r="R96" s="11">
        <v>1</v>
      </c>
      <c r="S96" s="11">
        <v>15</v>
      </c>
      <c r="T96" s="38">
        <v>38</v>
      </c>
      <c r="U96" s="38">
        <v>44.5</v>
      </c>
      <c r="V96" s="4">
        <f t="shared" si="36"/>
        <v>1.1710526315789473</v>
      </c>
      <c r="W96" s="11">
        <v>25</v>
      </c>
      <c r="X96" s="38">
        <v>2.2000000000000002</v>
      </c>
      <c r="Y96" s="38">
        <v>2.6</v>
      </c>
      <c r="Z96" s="4">
        <f t="shared" si="37"/>
        <v>1.1818181818181817</v>
      </c>
      <c r="AA96" s="11">
        <v>25</v>
      </c>
      <c r="AB96" s="50">
        <f t="shared" si="43"/>
        <v>0.99163567646642714</v>
      </c>
      <c r="AC96" s="50">
        <f t="shared" si="44"/>
        <v>0.99163567646642714</v>
      </c>
      <c r="AD96" s="51">
        <v>2049</v>
      </c>
      <c r="AE96" s="38">
        <f t="shared" si="38"/>
        <v>186.27272727272728</v>
      </c>
      <c r="AF96" s="38">
        <f t="shared" si="39"/>
        <v>184.7</v>
      </c>
      <c r="AG96" s="38">
        <f t="shared" si="40"/>
        <v>-1.5727272727272918</v>
      </c>
      <c r="AH96" s="38">
        <v>-0.6</v>
      </c>
      <c r="AI96" s="38">
        <f t="shared" si="41"/>
        <v>184.1</v>
      </c>
      <c r="AJ96" s="38"/>
      <c r="AK96" s="38">
        <f t="shared" si="42"/>
        <v>184.1</v>
      </c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10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10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10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10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10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10"/>
      <c r="GJ96" s="9"/>
      <c r="GK96" s="9"/>
    </row>
    <row r="97" spans="1:193" s="2" customFormat="1" ht="16.95" customHeight="1">
      <c r="A97" s="14" t="s">
        <v>97</v>
      </c>
      <c r="B97" s="38">
        <v>0</v>
      </c>
      <c r="C97" s="38">
        <v>0</v>
      </c>
      <c r="D97" s="4">
        <f t="shared" si="34"/>
        <v>0</v>
      </c>
      <c r="E97" s="11">
        <v>0</v>
      </c>
      <c r="F97" s="5" t="s">
        <v>371</v>
      </c>
      <c r="G97" s="5" t="s">
        <v>371</v>
      </c>
      <c r="H97" s="5" t="s">
        <v>371</v>
      </c>
      <c r="I97" s="5" t="s">
        <v>371</v>
      </c>
      <c r="J97" s="5" t="s">
        <v>371</v>
      </c>
      <c r="K97" s="5" t="s">
        <v>371</v>
      </c>
      <c r="L97" s="5" t="s">
        <v>371</v>
      </c>
      <c r="M97" s="5" t="s">
        <v>371</v>
      </c>
      <c r="N97" s="38">
        <v>227.7</v>
      </c>
      <c r="O97" s="38">
        <v>50.9</v>
      </c>
      <c r="P97" s="4">
        <f t="shared" si="35"/>
        <v>0.22353974527887571</v>
      </c>
      <c r="Q97" s="11">
        <v>20</v>
      </c>
      <c r="R97" s="11">
        <v>1</v>
      </c>
      <c r="S97" s="11">
        <v>15</v>
      </c>
      <c r="T97" s="38">
        <v>35</v>
      </c>
      <c r="U97" s="38">
        <v>38.5</v>
      </c>
      <c r="V97" s="4">
        <f t="shared" si="36"/>
        <v>1.1000000000000001</v>
      </c>
      <c r="W97" s="11">
        <v>25</v>
      </c>
      <c r="X97" s="38">
        <v>3</v>
      </c>
      <c r="Y97" s="38">
        <v>3.5</v>
      </c>
      <c r="Z97" s="4">
        <f t="shared" si="37"/>
        <v>1.1666666666666667</v>
      </c>
      <c r="AA97" s="11">
        <v>25</v>
      </c>
      <c r="AB97" s="50">
        <f t="shared" si="43"/>
        <v>0.8957348420264023</v>
      </c>
      <c r="AC97" s="50">
        <f t="shared" si="44"/>
        <v>0.8957348420264023</v>
      </c>
      <c r="AD97" s="51">
        <v>578</v>
      </c>
      <c r="AE97" s="38">
        <f t="shared" si="38"/>
        <v>52.545454545454547</v>
      </c>
      <c r="AF97" s="38">
        <f t="shared" si="39"/>
        <v>47.1</v>
      </c>
      <c r="AG97" s="38">
        <f t="shared" si="40"/>
        <v>-5.4454545454545453</v>
      </c>
      <c r="AH97" s="38">
        <v>2.2999999999999998</v>
      </c>
      <c r="AI97" s="38">
        <f t="shared" si="41"/>
        <v>49.4</v>
      </c>
      <c r="AJ97" s="38"/>
      <c r="AK97" s="38">
        <f t="shared" si="42"/>
        <v>49.4</v>
      </c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10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10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10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10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10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10"/>
      <c r="GJ97" s="9"/>
      <c r="GK97" s="9"/>
    </row>
    <row r="98" spans="1:193" s="2" customFormat="1" ht="16.95" customHeight="1">
      <c r="A98" s="14" t="s">
        <v>98</v>
      </c>
      <c r="B98" s="38">
        <v>1430</v>
      </c>
      <c r="C98" s="38">
        <v>1387</v>
      </c>
      <c r="D98" s="4">
        <f t="shared" si="34"/>
        <v>0.96993006993006992</v>
      </c>
      <c r="E98" s="11">
        <v>10</v>
      </c>
      <c r="F98" s="5" t="s">
        <v>371</v>
      </c>
      <c r="G98" s="5" t="s">
        <v>371</v>
      </c>
      <c r="H98" s="5" t="s">
        <v>371</v>
      </c>
      <c r="I98" s="5" t="s">
        <v>371</v>
      </c>
      <c r="J98" s="5" t="s">
        <v>371</v>
      </c>
      <c r="K98" s="5" t="s">
        <v>371</v>
      </c>
      <c r="L98" s="5" t="s">
        <v>371</v>
      </c>
      <c r="M98" s="5" t="s">
        <v>371</v>
      </c>
      <c r="N98" s="38">
        <v>103.9</v>
      </c>
      <c r="O98" s="38">
        <v>77.2</v>
      </c>
      <c r="P98" s="4">
        <f t="shared" si="35"/>
        <v>0.74302213666987482</v>
      </c>
      <c r="Q98" s="11">
        <v>20</v>
      </c>
      <c r="R98" s="11">
        <v>1</v>
      </c>
      <c r="S98" s="11">
        <v>15</v>
      </c>
      <c r="T98" s="38">
        <v>3</v>
      </c>
      <c r="U98" s="38">
        <v>3.2</v>
      </c>
      <c r="V98" s="4">
        <f t="shared" si="36"/>
        <v>1.0666666666666667</v>
      </c>
      <c r="W98" s="11">
        <v>20</v>
      </c>
      <c r="X98" s="38">
        <v>0.6</v>
      </c>
      <c r="Y98" s="38">
        <v>0.8</v>
      </c>
      <c r="Z98" s="4">
        <f t="shared" si="37"/>
        <v>1.3333333333333335</v>
      </c>
      <c r="AA98" s="11">
        <v>30</v>
      </c>
      <c r="AB98" s="50">
        <f t="shared" si="43"/>
        <v>1.0620323870108581</v>
      </c>
      <c r="AC98" s="50">
        <f t="shared" si="44"/>
        <v>1.0620323870108581</v>
      </c>
      <c r="AD98" s="51">
        <v>2177</v>
      </c>
      <c r="AE98" s="38">
        <f t="shared" si="38"/>
        <v>197.90909090909091</v>
      </c>
      <c r="AF98" s="38">
        <f t="shared" si="39"/>
        <v>210.2</v>
      </c>
      <c r="AG98" s="38">
        <f t="shared" si="40"/>
        <v>12.290909090909082</v>
      </c>
      <c r="AH98" s="38">
        <v>0</v>
      </c>
      <c r="AI98" s="38">
        <f t="shared" si="41"/>
        <v>210.2</v>
      </c>
      <c r="AJ98" s="38"/>
      <c r="AK98" s="38">
        <f t="shared" si="42"/>
        <v>210.2</v>
      </c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10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10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10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10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10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10"/>
      <c r="GJ98" s="9"/>
      <c r="GK98" s="9"/>
    </row>
    <row r="99" spans="1:193" s="2" customFormat="1" ht="16.95" customHeight="1">
      <c r="A99" s="14" t="s">
        <v>99</v>
      </c>
      <c r="B99" s="38">
        <v>79</v>
      </c>
      <c r="C99" s="38">
        <v>129</v>
      </c>
      <c r="D99" s="4">
        <f t="shared" si="34"/>
        <v>1.6329113924050633</v>
      </c>
      <c r="E99" s="11">
        <v>10</v>
      </c>
      <c r="F99" s="5" t="s">
        <v>371</v>
      </c>
      <c r="G99" s="5" t="s">
        <v>371</v>
      </c>
      <c r="H99" s="5" t="s">
        <v>371</v>
      </c>
      <c r="I99" s="5" t="s">
        <v>371</v>
      </c>
      <c r="J99" s="5" t="s">
        <v>371</v>
      </c>
      <c r="K99" s="5" t="s">
        <v>371</v>
      </c>
      <c r="L99" s="5" t="s">
        <v>371</v>
      </c>
      <c r="M99" s="5" t="s">
        <v>371</v>
      </c>
      <c r="N99" s="38">
        <v>661</v>
      </c>
      <c r="O99" s="38">
        <v>344.4</v>
      </c>
      <c r="P99" s="4">
        <f t="shared" si="35"/>
        <v>0.52102874432677759</v>
      </c>
      <c r="Q99" s="11">
        <v>20</v>
      </c>
      <c r="R99" s="11">
        <v>1</v>
      </c>
      <c r="S99" s="11">
        <v>15</v>
      </c>
      <c r="T99" s="38">
        <v>0</v>
      </c>
      <c r="U99" s="38">
        <v>0</v>
      </c>
      <c r="V99" s="4">
        <f t="shared" si="36"/>
        <v>1</v>
      </c>
      <c r="W99" s="11">
        <v>25</v>
      </c>
      <c r="X99" s="38">
        <v>0.3</v>
      </c>
      <c r="Y99" s="38">
        <v>0</v>
      </c>
      <c r="Z99" s="4">
        <f t="shared" si="37"/>
        <v>0</v>
      </c>
      <c r="AA99" s="11">
        <v>25</v>
      </c>
      <c r="AB99" s="50">
        <f t="shared" si="43"/>
        <v>0.70262830326932824</v>
      </c>
      <c r="AC99" s="50">
        <f t="shared" si="44"/>
        <v>0.70262830326932824</v>
      </c>
      <c r="AD99" s="51">
        <v>402</v>
      </c>
      <c r="AE99" s="38">
        <f t="shared" si="38"/>
        <v>36.545454545454547</v>
      </c>
      <c r="AF99" s="38">
        <f t="shared" si="39"/>
        <v>25.7</v>
      </c>
      <c r="AG99" s="38">
        <f t="shared" si="40"/>
        <v>-10.845454545454547</v>
      </c>
      <c r="AH99" s="38">
        <v>1</v>
      </c>
      <c r="AI99" s="38">
        <f t="shared" si="41"/>
        <v>26.7</v>
      </c>
      <c r="AJ99" s="38">
        <f>MIN($AI99,0.1)</f>
        <v>0.1</v>
      </c>
      <c r="AK99" s="38">
        <f t="shared" si="42"/>
        <v>26.6</v>
      </c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10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10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10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10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10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10"/>
      <c r="GJ99" s="9"/>
      <c r="GK99" s="9"/>
    </row>
    <row r="100" spans="1:193" s="2" customFormat="1" ht="16.95" customHeight="1">
      <c r="A100" s="14" t="s">
        <v>100</v>
      </c>
      <c r="B100" s="38">
        <v>180</v>
      </c>
      <c r="C100" s="38">
        <v>160</v>
      </c>
      <c r="D100" s="4">
        <f t="shared" si="34"/>
        <v>0.88888888888888884</v>
      </c>
      <c r="E100" s="11">
        <v>10</v>
      </c>
      <c r="F100" s="5" t="s">
        <v>371</v>
      </c>
      <c r="G100" s="5" t="s">
        <v>371</v>
      </c>
      <c r="H100" s="5" t="s">
        <v>371</v>
      </c>
      <c r="I100" s="5" t="s">
        <v>371</v>
      </c>
      <c r="J100" s="5" t="s">
        <v>371</v>
      </c>
      <c r="K100" s="5" t="s">
        <v>371</v>
      </c>
      <c r="L100" s="5" t="s">
        <v>371</v>
      </c>
      <c r="M100" s="5" t="s">
        <v>371</v>
      </c>
      <c r="N100" s="38">
        <v>151.69999999999999</v>
      </c>
      <c r="O100" s="38">
        <v>109.2</v>
      </c>
      <c r="P100" s="4">
        <f t="shared" si="35"/>
        <v>0.71984179301252482</v>
      </c>
      <c r="Q100" s="11">
        <v>20</v>
      </c>
      <c r="R100" s="11">
        <v>1</v>
      </c>
      <c r="S100" s="11">
        <v>15</v>
      </c>
      <c r="T100" s="38">
        <v>121</v>
      </c>
      <c r="U100" s="38">
        <v>132.9</v>
      </c>
      <c r="V100" s="4">
        <f t="shared" si="36"/>
        <v>1.0983471074380167</v>
      </c>
      <c r="W100" s="11">
        <v>25</v>
      </c>
      <c r="X100" s="38">
        <v>5.8</v>
      </c>
      <c r="Y100" s="38">
        <v>6.7</v>
      </c>
      <c r="Z100" s="4">
        <f t="shared" si="37"/>
        <v>1.1551724137931034</v>
      </c>
      <c r="AA100" s="11">
        <v>25</v>
      </c>
      <c r="AB100" s="50">
        <f t="shared" si="43"/>
        <v>0.99603908189386714</v>
      </c>
      <c r="AC100" s="50">
        <f t="shared" si="44"/>
        <v>0.99603908189386714</v>
      </c>
      <c r="AD100" s="51">
        <v>1472</v>
      </c>
      <c r="AE100" s="38">
        <f t="shared" si="38"/>
        <v>133.81818181818181</v>
      </c>
      <c r="AF100" s="38">
        <f t="shared" si="39"/>
        <v>133.30000000000001</v>
      </c>
      <c r="AG100" s="38">
        <f t="shared" si="40"/>
        <v>-0.51818181818180165</v>
      </c>
      <c r="AH100" s="38">
        <v>-7.1</v>
      </c>
      <c r="AI100" s="38">
        <f t="shared" si="41"/>
        <v>126.20000000000002</v>
      </c>
      <c r="AJ100" s="38"/>
      <c r="AK100" s="38">
        <f t="shared" si="42"/>
        <v>126.2</v>
      </c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10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10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10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10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10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10"/>
      <c r="GJ100" s="9"/>
      <c r="GK100" s="9"/>
    </row>
    <row r="101" spans="1:193" s="2" customFormat="1" ht="16.95" customHeight="1">
      <c r="A101" s="14" t="s">
        <v>101</v>
      </c>
      <c r="B101" s="38">
        <v>0</v>
      </c>
      <c r="C101" s="38">
        <v>0</v>
      </c>
      <c r="D101" s="4">
        <f t="shared" si="34"/>
        <v>0</v>
      </c>
      <c r="E101" s="11">
        <v>0</v>
      </c>
      <c r="F101" s="5" t="s">
        <v>371</v>
      </c>
      <c r="G101" s="5" t="s">
        <v>371</v>
      </c>
      <c r="H101" s="5" t="s">
        <v>371</v>
      </c>
      <c r="I101" s="5" t="s">
        <v>371</v>
      </c>
      <c r="J101" s="5" t="s">
        <v>371</v>
      </c>
      <c r="K101" s="5" t="s">
        <v>371</v>
      </c>
      <c r="L101" s="5" t="s">
        <v>371</v>
      </c>
      <c r="M101" s="5" t="s">
        <v>371</v>
      </c>
      <c r="N101" s="38">
        <v>71</v>
      </c>
      <c r="O101" s="38">
        <v>77.599999999999994</v>
      </c>
      <c r="P101" s="4">
        <f t="shared" si="35"/>
        <v>1.0929577464788731</v>
      </c>
      <c r="Q101" s="11">
        <v>20</v>
      </c>
      <c r="R101" s="11">
        <v>1</v>
      </c>
      <c r="S101" s="11">
        <v>15</v>
      </c>
      <c r="T101" s="38">
        <v>17</v>
      </c>
      <c r="U101" s="38">
        <v>19.600000000000001</v>
      </c>
      <c r="V101" s="4">
        <f t="shared" si="36"/>
        <v>1.1529411764705884</v>
      </c>
      <c r="W101" s="11">
        <v>15</v>
      </c>
      <c r="X101" s="38">
        <v>1.5</v>
      </c>
      <c r="Y101" s="38">
        <v>1.7</v>
      </c>
      <c r="Z101" s="4">
        <f t="shared" si="37"/>
        <v>1.1333333333333333</v>
      </c>
      <c r="AA101" s="11">
        <v>35</v>
      </c>
      <c r="AB101" s="50">
        <f t="shared" si="43"/>
        <v>1.1037639910976818</v>
      </c>
      <c r="AC101" s="50">
        <f t="shared" si="44"/>
        <v>1.1037639910976818</v>
      </c>
      <c r="AD101" s="51">
        <v>1910</v>
      </c>
      <c r="AE101" s="38">
        <f t="shared" si="38"/>
        <v>173.63636363636363</v>
      </c>
      <c r="AF101" s="38">
        <f t="shared" si="39"/>
        <v>191.7</v>
      </c>
      <c r="AG101" s="38">
        <f t="shared" si="40"/>
        <v>18.063636363636363</v>
      </c>
      <c r="AH101" s="38">
        <v>2.5</v>
      </c>
      <c r="AI101" s="38">
        <f t="shared" si="41"/>
        <v>194.2</v>
      </c>
      <c r="AJ101" s="38"/>
      <c r="AK101" s="38">
        <f t="shared" si="42"/>
        <v>194.2</v>
      </c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10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10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10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10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10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10"/>
      <c r="GJ101" s="9"/>
      <c r="GK101" s="9"/>
    </row>
    <row r="102" spans="1:193" s="2" customFormat="1" ht="16.95" customHeight="1">
      <c r="A102" s="53" t="s">
        <v>102</v>
      </c>
      <c r="B102" s="38">
        <v>0</v>
      </c>
      <c r="C102" s="38">
        <v>0</v>
      </c>
      <c r="D102" s="4">
        <f t="shared" si="34"/>
        <v>0</v>
      </c>
      <c r="E102" s="11">
        <v>0</v>
      </c>
      <c r="F102" s="5" t="s">
        <v>371</v>
      </c>
      <c r="G102" s="5" t="s">
        <v>371</v>
      </c>
      <c r="H102" s="5" t="s">
        <v>371</v>
      </c>
      <c r="I102" s="5" t="s">
        <v>371</v>
      </c>
      <c r="J102" s="5" t="s">
        <v>371</v>
      </c>
      <c r="K102" s="5" t="s">
        <v>371</v>
      </c>
      <c r="L102" s="5" t="s">
        <v>371</v>
      </c>
      <c r="M102" s="5" t="s">
        <v>371</v>
      </c>
      <c r="N102" s="38">
        <v>264.2</v>
      </c>
      <c r="O102" s="38">
        <v>148.5</v>
      </c>
      <c r="P102" s="4">
        <f t="shared" si="35"/>
        <v>0.56207418622255867</v>
      </c>
      <c r="Q102" s="11">
        <v>20</v>
      </c>
      <c r="R102" s="11">
        <v>1</v>
      </c>
      <c r="S102" s="11">
        <v>15</v>
      </c>
      <c r="T102" s="38">
        <v>92</v>
      </c>
      <c r="U102" s="38">
        <v>96.6</v>
      </c>
      <c r="V102" s="4">
        <f t="shared" si="36"/>
        <v>1.05</v>
      </c>
      <c r="W102" s="11">
        <v>30</v>
      </c>
      <c r="X102" s="38">
        <v>4.5</v>
      </c>
      <c r="Y102" s="38">
        <v>4.5999999999999996</v>
      </c>
      <c r="Z102" s="4">
        <f t="shared" si="37"/>
        <v>1.0222222222222221</v>
      </c>
      <c r="AA102" s="11">
        <v>20</v>
      </c>
      <c r="AB102" s="50">
        <f t="shared" si="43"/>
        <v>0.91983444904583078</v>
      </c>
      <c r="AC102" s="50">
        <f t="shared" si="44"/>
        <v>0.91983444904583078</v>
      </c>
      <c r="AD102" s="51">
        <v>692</v>
      </c>
      <c r="AE102" s="38">
        <f t="shared" si="38"/>
        <v>62.909090909090907</v>
      </c>
      <c r="AF102" s="38">
        <f t="shared" si="39"/>
        <v>57.9</v>
      </c>
      <c r="AG102" s="38">
        <f t="shared" si="40"/>
        <v>-5.0090909090909079</v>
      </c>
      <c r="AH102" s="38">
        <v>1.4</v>
      </c>
      <c r="AI102" s="38">
        <f t="shared" si="41"/>
        <v>59.3</v>
      </c>
      <c r="AJ102" s="38">
        <f>MIN($AI102,89.3)</f>
        <v>59.3</v>
      </c>
      <c r="AK102" s="38">
        <f t="shared" si="42"/>
        <v>0</v>
      </c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10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10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10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10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10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10"/>
      <c r="GJ102" s="9"/>
      <c r="GK102" s="9"/>
    </row>
    <row r="103" spans="1:193" s="2" customFormat="1" ht="16.95" customHeight="1">
      <c r="A103" s="14" t="s">
        <v>103</v>
      </c>
      <c r="B103" s="38">
        <v>0</v>
      </c>
      <c r="C103" s="38">
        <v>0</v>
      </c>
      <c r="D103" s="4">
        <f t="shared" si="34"/>
        <v>0</v>
      </c>
      <c r="E103" s="11">
        <v>0</v>
      </c>
      <c r="F103" s="5" t="s">
        <v>371</v>
      </c>
      <c r="G103" s="5" t="s">
        <v>371</v>
      </c>
      <c r="H103" s="5" t="s">
        <v>371</v>
      </c>
      <c r="I103" s="5" t="s">
        <v>371</v>
      </c>
      <c r="J103" s="5" t="s">
        <v>371</v>
      </c>
      <c r="K103" s="5" t="s">
        <v>371</v>
      </c>
      <c r="L103" s="5" t="s">
        <v>371</v>
      </c>
      <c r="M103" s="5" t="s">
        <v>371</v>
      </c>
      <c r="N103" s="38">
        <v>30.7</v>
      </c>
      <c r="O103" s="38">
        <v>80.2</v>
      </c>
      <c r="P103" s="4">
        <f t="shared" si="35"/>
        <v>2.6123778501628667</v>
      </c>
      <c r="Q103" s="11">
        <v>20</v>
      </c>
      <c r="R103" s="11">
        <v>1</v>
      </c>
      <c r="S103" s="11">
        <v>15</v>
      </c>
      <c r="T103" s="38">
        <v>21</v>
      </c>
      <c r="U103" s="38">
        <v>22.1</v>
      </c>
      <c r="V103" s="4">
        <f t="shared" si="36"/>
        <v>1.0523809523809524</v>
      </c>
      <c r="W103" s="11">
        <v>20</v>
      </c>
      <c r="X103" s="38">
        <v>1.5</v>
      </c>
      <c r="Y103" s="38">
        <v>1.8</v>
      </c>
      <c r="Z103" s="4">
        <f t="shared" si="37"/>
        <v>1.2</v>
      </c>
      <c r="AA103" s="11">
        <v>30</v>
      </c>
      <c r="AB103" s="50">
        <f t="shared" si="43"/>
        <v>1.4622961888338397</v>
      </c>
      <c r="AC103" s="50">
        <f t="shared" si="44"/>
        <v>1.2262296188833839</v>
      </c>
      <c r="AD103" s="51">
        <v>890</v>
      </c>
      <c r="AE103" s="38">
        <f t="shared" si="38"/>
        <v>80.909090909090907</v>
      </c>
      <c r="AF103" s="38">
        <f t="shared" si="39"/>
        <v>99.2</v>
      </c>
      <c r="AG103" s="38">
        <f t="shared" si="40"/>
        <v>18.290909090909096</v>
      </c>
      <c r="AH103" s="38">
        <v>-4.9000000000000004</v>
      </c>
      <c r="AI103" s="38">
        <f t="shared" si="41"/>
        <v>94.3</v>
      </c>
      <c r="AJ103" s="38"/>
      <c r="AK103" s="38">
        <f t="shared" si="42"/>
        <v>94.3</v>
      </c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10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10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10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10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10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10"/>
      <c r="GJ103" s="9"/>
      <c r="GK103" s="9"/>
    </row>
    <row r="104" spans="1:193" s="2" customFormat="1" ht="16.95" customHeight="1">
      <c r="A104" s="14" t="s">
        <v>104</v>
      </c>
      <c r="B104" s="38">
        <v>0</v>
      </c>
      <c r="C104" s="38">
        <v>0</v>
      </c>
      <c r="D104" s="4">
        <f t="shared" si="34"/>
        <v>0</v>
      </c>
      <c r="E104" s="11">
        <v>0</v>
      </c>
      <c r="F104" s="5" t="s">
        <v>371</v>
      </c>
      <c r="G104" s="5" t="s">
        <v>371</v>
      </c>
      <c r="H104" s="5" t="s">
        <v>371</v>
      </c>
      <c r="I104" s="5" t="s">
        <v>371</v>
      </c>
      <c r="J104" s="5" t="s">
        <v>371</v>
      </c>
      <c r="K104" s="5" t="s">
        <v>371</v>
      </c>
      <c r="L104" s="5" t="s">
        <v>371</v>
      </c>
      <c r="M104" s="5" t="s">
        <v>371</v>
      </c>
      <c r="N104" s="38">
        <v>134.4</v>
      </c>
      <c r="O104" s="38">
        <v>118.2</v>
      </c>
      <c r="P104" s="4">
        <f t="shared" si="35"/>
        <v>0.8794642857142857</v>
      </c>
      <c r="Q104" s="11">
        <v>20</v>
      </c>
      <c r="R104" s="11">
        <v>1</v>
      </c>
      <c r="S104" s="11">
        <v>15</v>
      </c>
      <c r="T104" s="38">
        <v>13</v>
      </c>
      <c r="U104" s="38">
        <v>14.3</v>
      </c>
      <c r="V104" s="4">
        <f t="shared" si="36"/>
        <v>1.1000000000000001</v>
      </c>
      <c r="W104" s="11">
        <v>15</v>
      </c>
      <c r="X104" s="38">
        <v>1.2</v>
      </c>
      <c r="Y104" s="38">
        <v>1.2</v>
      </c>
      <c r="Z104" s="4">
        <f t="shared" si="37"/>
        <v>1</v>
      </c>
      <c r="AA104" s="11">
        <v>35</v>
      </c>
      <c r="AB104" s="50">
        <f t="shared" si="43"/>
        <v>0.98928571428571443</v>
      </c>
      <c r="AC104" s="50">
        <f t="shared" si="44"/>
        <v>0.98928571428571443</v>
      </c>
      <c r="AD104" s="51">
        <v>552</v>
      </c>
      <c r="AE104" s="38">
        <f t="shared" si="38"/>
        <v>50.18181818181818</v>
      </c>
      <c r="AF104" s="38">
        <f t="shared" si="39"/>
        <v>49.6</v>
      </c>
      <c r="AG104" s="38">
        <f t="shared" si="40"/>
        <v>-0.58181818181817846</v>
      </c>
      <c r="AH104" s="38">
        <v>-6</v>
      </c>
      <c r="AI104" s="38">
        <f t="shared" si="41"/>
        <v>43.6</v>
      </c>
      <c r="AJ104" s="38"/>
      <c r="AK104" s="38">
        <f t="shared" si="42"/>
        <v>43.6</v>
      </c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10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10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10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10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10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10"/>
      <c r="GJ104" s="9"/>
      <c r="GK104" s="9"/>
    </row>
    <row r="105" spans="1:193" s="2" customFormat="1" ht="16.95" customHeight="1">
      <c r="A105" s="19" t="s">
        <v>105</v>
      </c>
      <c r="B105" s="7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10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10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10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10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10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10"/>
      <c r="GJ105" s="9"/>
      <c r="GK105" s="9"/>
    </row>
    <row r="106" spans="1:193" s="2" customFormat="1" ht="16.95" customHeight="1">
      <c r="A106" s="14" t="s">
        <v>106</v>
      </c>
      <c r="B106" s="38">
        <v>88000</v>
      </c>
      <c r="C106" s="38">
        <v>67885</v>
      </c>
      <c r="D106" s="4">
        <f t="shared" si="34"/>
        <v>0.77142045454545449</v>
      </c>
      <c r="E106" s="11">
        <v>10</v>
      </c>
      <c r="F106" s="5" t="s">
        <v>371</v>
      </c>
      <c r="G106" s="5" t="s">
        <v>371</v>
      </c>
      <c r="H106" s="5" t="s">
        <v>371</v>
      </c>
      <c r="I106" s="5" t="s">
        <v>371</v>
      </c>
      <c r="J106" s="5" t="s">
        <v>371</v>
      </c>
      <c r="K106" s="5" t="s">
        <v>371</v>
      </c>
      <c r="L106" s="5" t="s">
        <v>371</v>
      </c>
      <c r="M106" s="5" t="s">
        <v>371</v>
      </c>
      <c r="N106" s="38">
        <v>1819.2</v>
      </c>
      <c r="O106" s="38">
        <v>2347.1999999999998</v>
      </c>
      <c r="P106" s="4">
        <f t="shared" si="35"/>
        <v>1.2902374670184695</v>
      </c>
      <c r="Q106" s="11">
        <v>20</v>
      </c>
      <c r="R106" s="11">
        <v>1</v>
      </c>
      <c r="S106" s="11">
        <v>15</v>
      </c>
      <c r="T106" s="38">
        <v>5</v>
      </c>
      <c r="U106" s="38">
        <v>25.1</v>
      </c>
      <c r="V106" s="4">
        <f t="shared" si="36"/>
        <v>5.0200000000000005</v>
      </c>
      <c r="W106" s="11">
        <v>30</v>
      </c>
      <c r="X106" s="38">
        <v>5.5</v>
      </c>
      <c r="Y106" s="38">
        <v>0</v>
      </c>
      <c r="Z106" s="4">
        <f t="shared" si="37"/>
        <v>0</v>
      </c>
      <c r="AA106" s="11">
        <v>20</v>
      </c>
      <c r="AB106" s="50">
        <f t="shared" si="43"/>
        <v>2.0959889882718308</v>
      </c>
      <c r="AC106" s="50">
        <f t="shared" si="44"/>
        <v>1.2895988988271831</v>
      </c>
      <c r="AD106" s="51">
        <v>2154</v>
      </c>
      <c r="AE106" s="38">
        <f t="shared" si="38"/>
        <v>195.81818181818181</v>
      </c>
      <c r="AF106" s="38">
        <f t="shared" si="39"/>
        <v>252.5</v>
      </c>
      <c r="AG106" s="38">
        <f t="shared" si="40"/>
        <v>56.681818181818187</v>
      </c>
      <c r="AH106" s="38">
        <v>31.4</v>
      </c>
      <c r="AI106" s="38">
        <f t="shared" si="41"/>
        <v>283.89999999999998</v>
      </c>
      <c r="AJ106" s="38"/>
      <c r="AK106" s="38">
        <f t="shared" si="42"/>
        <v>283.89999999999998</v>
      </c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10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10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10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10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10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10"/>
      <c r="GJ106" s="9"/>
      <c r="GK106" s="9"/>
    </row>
    <row r="107" spans="1:193" s="2" customFormat="1" ht="16.95" customHeight="1">
      <c r="A107" s="14" t="s">
        <v>107</v>
      </c>
      <c r="B107" s="38">
        <v>0</v>
      </c>
      <c r="C107" s="38">
        <v>0</v>
      </c>
      <c r="D107" s="4">
        <f t="shared" si="34"/>
        <v>0</v>
      </c>
      <c r="E107" s="11">
        <v>0</v>
      </c>
      <c r="F107" s="5" t="s">
        <v>371</v>
      </c>
      <c r="G107" s="5" t="s">
        <v>371</v>
      </c>
      <c r="H107" s="5" t="s">
        <v>371</v>
      </c>
      <c r="I107" s="5" t="s">
        <v>371</v>
      </c>
      <c r="J107" s="5" t="s">
        <v>371</v>
      </c>
      <c r="K107" s="5" t="s">
        <v>371</v>
      </c>
      <c r="L107" s="5" t="s">
        <v>371</v>
      </c>
      <c r="M107" s="5" t="s">
        <v>371</v>
      </c>
      <c r="N107" s="38">
        <v>929.6</v>
      </c>
      <c r="O107" s="38">
        <v>1236.8</v>
      </c>
      <c r="P107" s="4">
        <f t="shared" si="35"/>
        <v>1.3304647160068845</v>
      </c>
      <c r="Q107" s="11">
        <v>20</v>
      </c>
      <c r="R107" s="11">
        <v>1</v>
      </c>
      <c r="S107" s="11">
        <v>15</v>
      </c>
      <c r="T107" s="38">
        <v>45</v>
      </c>
      <c r="U107" s="38">
        <v>48.5</v>
      </c>
      <c r="V107" s="4">
        <f t="shared" si="36"/>
        <v>1.0777777777777777</v>
      </c>
      <c r="W107" s="11">
        <v>25</v>
      </c>
      <c r="X107" s="38">
        <v>24</v>
      </c>
      <c r="Y107" s="38">
        <v>29.3</v>
      </c>
      <c r="Z107" s="4">
        <f t="shared" si="37"/>
        <v>1.2208333333333334</v>
      </c>
      <c r="AA107" s="11">
        <v>25</v>
      </c>
      <c r="AB107" s="50">
        <f t="shared" si="43"/>
        <v>1.1655832011519469</v>
      </c>
      <c r="AC107" s="50">
        <f t="shared" si="44"/>
        <v>1.1655832011519469</v>
      </c>
      <c r="AD107" s="51">
        <v>1884</v>
      </c>
      <c r="AE107" s="38">
        <f t="shared" si="38"/>
        <v>171.27272727272728</v>
      </c>
      <c r="AF107" s="38">
        <f t="shared" si="39"/>
        <v>199.6</v>
      </c>
      <c r="AG107" s="38">
        <f t="shared" si="40"/>
        <v>28.327272727272714</v>
      </c>
      <c r="AH107" s="38">
        <v>-5.2</v>
      </c>
      <c r="AI107" s="38">
        <f t="shared" si="41"/>
        <v>194.4</v>
      </c>
      <c r="AJ107" s="38"/>
      <c r="AK107" s="38">
        <f t="shared" si="42"/>
        <v>194.4</v>
      </c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10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10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10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10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10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10"/>
      <c r="GJ107" s="9"/>
      <c r="GK107" s="9"/>
    </row>
    <row r="108" spans="1:193" s="2" customFormat="1" ht="16.95" customHeight="1">
      <c r="A108" s="14" t="s">
        <v>108</v>
      </c>
      <c r="B108" s="38">
        <v>0</v>
      </c>
      <c r="C108" s="38">
        <v>0</v>
      </c>
      <c r="D108" s="4">
        <f t="shared" si="34"/>
        <v>0</v>
      </c>
      <c r="E108" s="11">
        <v>0</v>
      </c>
      <c r="F108" s="5" t="s">
        <v>371</v>
      </c>
      <c r="G108" s="5" t="s">
        <v>371</v>
      </c>
      <c r="H108" s="5" t="s">
        <v>371</v>
      </c>
      <c r="I108" s="5" t="s">
        <v>371</v>
      </c>
      <c r="J108" s="5" t="s">
        <v>371</v>
      </c>
      <c r="K108" s="5" t="s">
        <v>371</v>
      </c>
      <c r="L108" s="5" t="s">
        <v>371</v>
      </c>
      <c r="M108" s="5" t="s">
        <v>371</v>
      </c>
      <c r="N108" s="38">
        <v>991.4</v>
      </c>
      <c r="O108" s="38">
        <v>1705.7</v>
      </c>
      <c r="P108" s="4">
        <f t="shared" si="35"/>
        <v>1.7204962679039744</v>
      </c>
      <c r="Q108" s="11">
        <v>20</v>
      </c>
      <c r="R108" s="11">
        <v>1</v>
      </c>
      <c r="S108" s="11">
        <v>15</v>
      </c>
      <c r="T108" s="38">
        <v>40</v>
      </c>
      <c r="U108" s="38">
        <v>1</v>
      </c>
      <c r="V108" s="4">
        <f t="shared" si="36"/>
        <v>2.5000000000000001E-2</v>
      </c>
      <c r="W108" s="11">
        <v>25</v>
      </c>
      <c r="X108" s="38">
        <v>8</v>
      </c>
      <c r="Y108" s="38">
        <v>16.399999999999999</v>
      </c>
      <c r="Z108" s="4">
        <f t="shared" si="37"/>
        <v>2.0499999999999998</v>
      </c>
      <c r="AA108" s="11">
        <v>25</v>
      </c>
      <c r="AB108" s="50">
        <f t="shared" si="43"/>
        <v>1.1915873571538762</v>
      </c>
      <c r="AC108" s="50">
        <f t="shared" si="44"/>
        <v>1.1915873571538762</v>
      </c>
      <c r="AD108" s="51">
        <v>3644</v>
      </c>
      <c r="AE108" s="38">
        <f t="shared" si="38"/>
        <v>331.27272727272725</v>
      </c>
      <c r="AF108" s="38">
        <f t="shared" si="39"/>
        <v>394.7</v>
      </c>
      <c r="AG108" s="38">
        <f t="shared" si="40"/>
        <v>63.427272727272737</v>
      </c>
      <c r="AH108" s="38">
        <v>-106.3</v>
      </c>
      <c r="AI108" s="38">
        <f t="shared" si="41"/>
        <v>288.39999999999998</v>
      </c>
      <c r="AJ108" s="38"/>
      <c r="AK108" s="38">
        <f t="shared" si="42"/>
        <v>288.39999999999998</v>
      </c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10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10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10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10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10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10"/>
      <c r="GJ108" s="9"/>
      <c r="GK108" s="9"/>
    </row>
    <row r="109" spans="1:193" s="2" customFormat="1" ht="16.95" customHeight="1">
      <c r="A109" s="14" t="s">
        <v>109</v>
      </c>
      <c r="B109" s="38">
        <v>4700</v>
      </c>
      <c r="C109" s="38">
        <v>45181.1</v>
      </c>
      <c r="D109" s="4">
        <f t="shared" si="34"/>
        <v>9.6129999999999995</v>
      </c>
      <c r="E109" s="11">
        <v>10</v>
      </c>
      <c r="F109" s="5" t="s">
        <v>371</v>
      </c>
      <c r="G109" s="5" t="s">
        <v>371</v>
      </c>
      <c r="H109" s="5" t="s">
        <v>371</v>
      </c>
      <c r="I109" s="5" t="s">
        <v>371</v>
      </c>
      <c r="J109" s="5" t="s">
        <v>371</v>
      </c>
      <c r="K109" s="5" t="s">
        <v>371</v>
      </c>
      <c r="L109" s="5" t="s">
        <v>371</v>
      </c>
      <c r="M109" s="5" t="s">
        <v>371</v>
      </c>
      <c r="N109" s="38">
        <v>484.5</v>
      </c>
      <c r="O109" s="38">
        <v>2666.6</v>
      </c>
      <c r="P109" s="4">
        <f t="shared" si="35"/>
        <v>5.503818369453044</v>
      </c>
      <c r="Q109" s="11">
        <v>20</v>
      </c>
      <c r="R109" s="11">
        <v>1</v>
      </c>
      <c r="S109" s="11">
        <v>15</v>
      </c>
      <c r="T109" s="38">
        <v>2</v>
      </c>
      <c r="U109" s="38">
        <v>1</v>
      </c>
      <c r="V109" s="4">
        <f t="shared" si="36"/>
        <v>0.5</v>
      </c>
      <c r="W109" s="11">
        <v>20</v>
      </c>
      <c r="X109" s="38">
        <v>1.6</v>
      </c>
      <c r="Y109" s="38">
        <v>3.3</v>
      </c>
      <c r="Z109" s="4">
        <f t="shared" si="37"/>
        <v>2.0624999999999996</v>
      </c>
      <c r="AA109" s="11">
        <v>30</v>
      </c>
      <c r="AB109" s="50">
        <f t="shared" si="43"/>
        <v>3.085067025148009</v>
      </c>
      <c r="AC109" s="50">
        <f t="shared" si="44"/>
        <v>1.3</v>
      </c>
      <c r="AD109" s="51">
        <v>2354</v>
      </c>
      <c r="AE109" s="38">
        <f t="shared" si="38"/>
        <v>214</v>
      </c>
      <c r="AF109" s="38">
        <f t="shared" si="39"/>
        <v>278.2</v>
      </c>
      <c r="AG109" s="38">
        <f t="shared" si="40"/>
        <v>64.199999999999989</v>
      </c>
      <c r="AH109" s="38">
        <v>-0.7</v>
      </c>
      <c r="AI109" s="38">
        <f t="shared" si="41"/>
        <v>277.5</v>
      </c>
      <c r="AJ109" s="38"/>
      <c r="AK109" s="38">
        <f t="shared" si="42"/>
        <v>277.5</v>
      </c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10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10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10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10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10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10"/>
      <c r="GJ109" s="9"/>
      <c r="GK109" s="9"/>
    </row>
    <row r="110" spans="1:193" s="2" customFormat="1" ht="16.95" customHeight="1">
      <c r="A110" s="14" t="s">
        <v>110</v>
      </c>
      <c r="B110" s="38">
        <v>0</v>
      </c>
      <c r="C110" s="38">
        <v>12207.3</v>
      </c>
      <c r="D110" s="4">
        <f t="shared" si="34"/>
        <v>0</v>
      </c>
      <c r="E110" s="11">
        <v>0</v>
      </c>
      <c r="F110" s="5" t="s">
        <v>371</v>
      </c>
      <c r="G110" s="5" t="s">
        <v>371</v>
      </c>
      <c r="H110" s="5" t="s">
        <v>371</v>
      </c>
      <c r="I110" s="5" t="s">
        <v>371</v>
      </c>
      <c r="J110" s="5" t="s">
        <v>371</v>
      </c>
      <c r="K110" s="5" t="s">
        <v>371</v>
      </c>
      <c r="L110" s="5" t="s">
        <v>371</v>
      </c>
      <c r="M110" s="5" t="s">
        <v>371</v>
      </c>
      <c r="N110" s="38">
        <v>7140.8</v>
      </c>
      <c r="O110" s="38">
        <v>5320</v>
      </c>
      <c r="P110" s="4">
        <f t="shared" si="35"/>
        <v>0.74501456419448797</v>
      </c>
      <c r="Q110" s="11">
        <v>20</v>
      </c>
      <c r="R110" s="11">
        <v>1</v>
      </c>
      <c r="S110" s="11">
        <v>15</v>
      </c>
      <c r="T110" s="38">
        <v>190</v>
      </c>
      <c r="U110" s="38">
        <v>200.3</v>
      </c>
      <c r="V110" s="4">
        <f t="shared" si="36"/>
        <v>1.0542105263157895</v>
      </c>
      <c r="W110" s="11">
        <v>25</v>
      </c>
      <c r="X110" s="38">
        <v>0</v>
      </c>
      <c r="Y110" s="38">
        <v>0</v>
      </c>
      <c r="Z110" s="4">
        <f t="shared" si="37"/>
        <v>1</v>
      </c>
      <c r="AA110" s="11">
        <v>25</v>
      </c>
      <c r="AB110" s="50">
        <f t="shared" si="43"/>
        <v>0.9559476993151117</v>
      </c>
      <c r="AC110" s="50">
        <f t="shared" si="44"/>
        <v>0.9559476993151117</v>
      </c>
      <c r="AD110" s="51">
        <v>1527</v>
      </c>
      <c r="AE110" s="38">
        <f t="shared" si="38"/>
        <v>138.81818181818181</v>
      </c>
      <c r="AF110" s="38">
        <f t="shared" si="39"/>
        <v>132.69999999999999</v>
      </c>
      <c r="AG110" s="38">
        <f t="shared" ref="AG110:AG172" si="45">AF110-AE110</f>
        <v>-6.1181818181818244</v>
      </c>
      <c r="AH110" s="38">
        <v>-21.2</v>
      </c>
      <c r="AI110" s="38">
        <f t="shared" si="41"/>
        <v>111.49999999999999</v>
      </c>
      <c r="AJ110" s="38">
        <f>MIN($AI110,55.6)</f>
        <v>55.6</v>
      </c>
      <c r="AK110" s="38">
        <f t="shared" si="42"/>
        <v>55.9</v>
      </c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10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10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10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10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10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10"/>
      <c r="GJ110" s="9"/>
      <c r="GK110" s="9"/>
    </row>
    <row r="111" spans="1:193" s="2" customFormat="1" ht="16.95" customHeight="1">
      <c r="A111" s="14" t="s">
        <v>111</v>
      </c>
      <c r="B111" s="38">
        <v>65353</v>
      </c>
      <c r="C111" s="38">
        <v>88095</v>
      </c>
      <c r="D111" s="4">
        <f t="shared" ref="D111:D174" si="46">IF(E111=0,0,IF(B111=0,1,IF(C111&lt;0,0,C111/B111)))</f>
        <v>1.347987085520175</v>
      </c>
      <c r="E111" s="11">
        <v>10</v>
      </c>
      <c r="F111" s="5" t="s">
        <v>371</v>
      </c>
      <c r="G111" s="5" t="s">
        <v>371</v>
      </c>
      <c r="H111" s="5" t="s">
        <v>371</v>
      </c>
      <c r="I111" s="5" t="s">
        <v>371</v>
      </c>
      <c r="J111" s="5" t="s">
        <v>371</v>
      </c>
      <c r="K111" s="5" t="s">
        <v>371</v>
      </c>
      <c r="L111" s="5" t="s">
        <v>371</v>
      </c>
      <c r="M111" s="5" t="s">
        <v>371</v>
      </c>
      <c r="N111" s="38">
        <v>447.8</v>
      </c>
      <c r="O111" s="38">
        <v>1652.4</v>
      </c>
      <c r="P111" s="4">
        <f t="shared" ref="P111:P174" si="47">IF(Q111=0,0,IF(N111=0,1,IF(O111&lt;0,0,O111/N111)))</f>
        <v>3.6900401965163021</v>
      </c>
      <c r="Q111" s="11">
        <v>20</v>
      </c>
      <c r="R111" s="11">
        <v>1</v>
      </c>
      <c r="S111" s="11">
        <v>15</v>
      </c>
      <c r="T111" s="38">
        <v>1.5</v>
      </c>
      <c r="U111" s="38">
        <v>2</v>
      </c>
      <c r="V111" s="4">
        <f t="shared" ref="V111:V174" si="48">IF(W111=0,0,IF(T111=0,1,IF(U111&lt;0,0,U111/T111)))</f>
        <v>1.3333333333333333</v>
      </c>
      <c r="W111" s="11">
        <v>30</v>
      </c>
      <c r="X111" s="38">
        <v>0</v>
      </c>
      <c r="Y111" s="38">
        <v>1</v>
      </c>
      <c r="Z111" s="4">
        <f t="shared" ref="Z111:Z174" si="49">IF(AA111=0,0,IF(X111=0,1,IF(Y111&lt;0,0,Y111/X111)))</f>
        <v>1</v>
      </c>
      <c r="AA111" s="11">
        <v>20</v>
      </c>
      <c r="AB111" s="50">
        <f t="shared" si="43"/>
        <v>1.7082176293213451</v>
      </c>
      <c r="AC111" s="50">
        <f t="shared" si="44"/>
        <v>1.2508217629321345</v>
      </c>
      <c r="AD111" s="51">
        <v>4571</v>
      </c>
      <c r="AE111" s="38">
        <f t="shared" ref="AE111:AE174" si="50">AD111/11</f>
        <v>415.54545454545456</v>
      </c>
      <c r="AF111" s="38">
        <f t="shared" ref="AF111:AF174" si="51">ROUND(AC111*AE111,1)</f>
        <v>519.79999999999995</v>
      </c>
      <c r="AG111" s="38">
        <f t="shared" si="45"/>
        <v>104.25454545454539</v>
      </c>
      <c r="AH111" s="38">
        <v>-14.3</v>
      </c>
      <c r="AI111" s="38">
        <f t="shared" ref="AI111:AI174" si="52">AF111+AH111</f>
        <v>505.49999999999994</v>
      </c>
      <c r="AJ111" s="38"/>
      <c r="AK111" s="38">
        <f t="shared" ref="AK111:AK174" si="53">IF((AI111-AJ111)&gt;0,ROUND(AI111-AJ111,1),0)</f>
        <v>505.5</v>
      </c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10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10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10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10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10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10"/>
      <c r="GJ111" s="9"/>
      <c r="GK111" s="9"/>
    </row>
    <row r="112" spans="1:193" s="2" customFormat="1" ht="16.95" customHeight="1">
      <c r="A112" s="14" t="s">
        <v>112</v>
      </c>
      <c r="B112" s="38">
        <v>0</v>
      </c>
      <c r="C112" s="38">
        <v>0</v>
      </c>
      <c r="D112" s="4">
        <f t="shared" si="46"/>
        <v>0</v>
      </c>
      <c r="E112" s="11">
        <v>0</v>
      </c>
      <c r="F112" s="5" t="s">
        <v>371</v>
      </c>
      <c r="G112" s="5" t="s">
        <v>371</v>
      </c>
      <c r="H112" s="5" t="s">
        <v>371</v>
      </c>
      <c r="I112" s="5" t="s">
        <v>371</v>
      </c>
      <c r="J112" s="5" t="s">
        <v>371</v>
      </c>
      <c r="K112" s="5" t="s">
        <v>371</v>
      </c>
      <c r="L112" s="5" t="s">
        <v>371</v>
      </c>
      <c r="M112" s="5" t="s">
        <v>371</v>
      </c>
      <c r="N112" s="38">
        <v>119.6</v>
      </c>
      <c r="O112" s="38">
        <v>459.9</v>
      </c>
      <c r="P112" s="4">
        <f t="shared" si="47"/>
        <v>3.8453177257525084</v>
      </c>
      <c r="Q112" s="11">
        <v>20</v>
      </c>
      <c r="R112" s="11">
        <v>1</v>
      </c>
      <c r="S112" s="11">
        <v>15</v>
      </c>
      <c r="T112" s="38">
        <v>60</v>
      </c>
      <c r="U112" s="38">
        <v>67.3</v>
      </c>
      <c r="V112" s="4">
        <f t="shared" si="48"/>
        <v>1.1216666666666666</v>
      </c>
      <c r="W112" s="11">
        <v>20</v>
      </c>
      <c r="X112" s="38">
        <v>16</v>
      </c>
      <c r="Y112" s="38">
        <v>19.5</v>
      </c>
      <c r="Z112" s="4">
        <f t="shared" si="49"/>
        <v>1.21875</v>
      </c>
      <c r="AA112" s="11">
        <v>30</v>
      </c>
      <c r="AB112" s="50">
        <f t="shared" ref="AB112:AB175" si="54">(D112*E112+P112*Q112+R112*S112+V112*W112+Z112*AA112)/(E112+Q112+S112+W112+AA112)</f>
        <v>1.7753198570398059</v>
      </c>
      <c r="AC112" s="50">
        <f t="shared" ref="AC112:AC175" si="55">IF(AB112&gt;1.2,IF((AB112-1.2)*0.1+1.2&gt;1.3,1.3,(AB112-1.2)*0.1+1.2),AB112)</f>
        <v>1.2575319857039806</v>
      </c>
      <c r="AD112" s="51">
        <v>5203</v>
      </c>
      <c r="AE112" s="38">
        <f t="shared" si="50"/>
        <v>473</v>
      </c>
      <c r="AF112" s="38">
        <f t="shared" si="51"/>
        <v>594.79999999999995</v>
      </c>
      <c r="AG112" s="38">
        <f t="shared" si="45"/>
        <v>121.79999999999995</v>
      </c>
      <c r="AH112" s="38">
        <v>79.2</v>
      </c>
      <c r="AI112" s="38">
        <f t="shared" si="52"/>
        <v>674</v>
      </c>
      <c r="AJ112" s="38"/>
      <c r="AK112" s="38">
        <f t="shared" si="53"/>
        <v>674</v>
      </c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10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10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10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10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10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10"/>
      <c r="GJ112" s="9"/>
      <c r="GK112" s="9"/>
    </row>
    <row r="113" spans="1:193" s="2" customFormat="1" ht="16.95" customHeight="1">
      <c r="A113" s="14" t="s">
        <v>113</v>
      </c>
      <c r="B113" s="38">
        <v>0</v>
      </c>
      <c r="C113" s="38">
        <v>0</v>
      </c>
      <c r="D113" s="4">
        <f t="shared" si="46"/>
        <v>0</v>
      </c>
      <c r="E113" s="11">
        <v>0</v>
      </c>
      <c r="F113" s="5" t="s">
        <v>371</v>
      </c>
      <c r="G113" s="5" t="s">
        <v>371</v>
      </c>
      <c r="H113" s="5" t="s">
        <v>371</v>
      </c>
      <c r="I113" s="5" t="s">
        <v>371</v>
      </c>
      <c r="J113" s="5" t="s">
        <v>371</v>
      </c>
      <c r="K113" s="5" t="s">
        <v>371</v>
      </c>
      <c r="L113" s="5" t="s">
        <v>371</v>
      </c>
      <c r="M113" s="5" t="s">
        <v>371</v>
      </c>
      <c r="N113" s="38">
        <v>2759.5</v>
      </c>
      <c r="O113" s="38">
        <v>803.9</v>
      </c>
      <c r="P113" s="4">
        <f t="shared" si="47"/>
        <v>0.29132089146584528</v>
      </c>
      <c r="Q113" s="11">
        <v>20</v>
      </c>
      <c r="R113" s="11">
        <v>1</v>
      </c>
      <c r="S113" s="11">
        <v>15</v>
      </c>
      <c r="T113" s="38">
        <v>72</v>
      </c>
      <c r="U113" s="38">
        <v>86.4</v>
      </c>
      <c r="V113" s="4">
        <f t="shared" si="48"/>
        <v>1.2000000000000002</v>
      </c>
      <c r="W113" s="11">
        <v>25</v>
      </c>
      <c r="X113" s="38">
        <v>35</v>
      </c>
      <c r="Y113" s="38">
        <v>83.3</v>
      </c>
      <c r="Z113" s="4">
        <f t="shared" si="49"/>
        <v>2.38</v>
      </c>
      <c r="AA113" s="11">
        <v>25</v>
      </c>
      <c r="AB113" s="50">
        <f t="shared" si="54"/>
        <v>1.297957856815493</v>
      </c>
      <c r="AC113" s="50">
        <f t="shared" si="55"/>
        <v>1.2097957856815493</v>
      </c>
      <c r="AD113" s="51">
        <v>2157</v>
      </c>
      <c r="AE113" s="38">
        <f t="shared" si="50"/>
        <v>196.09090909090909</v>
      </c>
      <c r="AF113" s="38">
        <f t="shared" si="51"/>
        <v>237.2</v>
      </c>
      <c r="AG113" s="38">
        <f t="shared" si="45"/>
        <v>41.109090909090895</v>
      </c>
      <c r="AH113" s="38">
        <v>-51.5</v>
      </c>
      <c r="AI113" s="38">
        <f t="shared" si="52"/>
        <v>185.7</v>
      </c>
      <c r="AJ113" s="38">
        <f>MIN($AI113,2.7)</f>
        <v>2.7</v>
      </c>
      <c r="AK113" s="38">
        <f t="shared" si="53"/>
        <v>183</v>
      </c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10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10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10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10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10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10"/>
      <c r="GJ113" s="9"/>
      <c r="GK113" s="9"/>
    </row>
    <row r="114" spans="1:193" s="2" customFormat="1" ht="16.95" customHeight="1">
      <c r="A114" s="14" t="s">
        <v>114</v>
      </c>
      <c r="B114" s="38">
        <v>1008</v>
      </c>
      <c r="C114" s="38">
        <v>2215</v>
      </c>
      <c r="D114" s="4">
        <f t="shared" si="46"/>
        <v>2.1974206349206349</v>
      </c>
      <c r="E114" s="11">
        <v>10</v>
      </c>
      <c r="F114" s="5" t="s">
        <v>371</v>
      </c>
      <c r="G114" s="5" t="s">
        <v>371</v>
      </c>
      <c r="H114" s="5" t="s">
        <v>371</v>
      </c>
      <c r="I114" s="5" t="s">
        <v>371</v>
      </c>
      <c r="J114" s="5" t="s">
        <v>371</v>
      </c>
      <c r="K114" s="5" t="s">
        <v>371</v>
      </c>
      <c r="L114" s="5" t="s">
        <v>371</v>
      </c>
      <c r="M114" s="5" t="s">
        <v>371</v>
      </c>
      <c r="N114" s="38">
        <v>2755.3</v>
      </c>
      <c r="O114" s="38">
        <v>789.2</v>
      </c>
      <c r="P114" s="4">
        <f t="shared" si="47"/>
        <v>0.28642978985954343</v>
      </c>
      <c r="Q114" s="11">
        <v>20</v>
      </c>
      <c r="R114" s="11">
        <v>1</v>
      </c>
      <c r="S114" s="11">
        <v>15</v>
      </c>
      <c r="T114" s="38">
        <v>9</v>
      </c>
      <c r="U114" s="38">
        <v>7.3</v>
      </c>
      <c r="V114" s="4">
        <f t="shared" si="48"/>
        <v>0.81111111111111112</v>
      </c>
      <c r="W114" s="11">
        <v>20</v>
      </c>
      <c r="X114" s="38">
        <v>0.8</v>
      </c>
      <c r="Y114" s="38">
        <v>10.4</v>
      </c>
      <c r="Z114" s="4">
        <f t="shared" si="49"/>
        <v>13</v>
      </c>
      <c r="AA114" s="11">
        <v>30</v>
      </c>
      <c r="AB114" s="50">
        <f t="shared" si="54"/>
        <v>4.7255265723012574</v>
      </c>
      <c r="AC114" s="50">
        <f t="shared" si="55"/>
        <v>1.3</v>
      </c>
      <c r="AD114" s="51">
        <v>2629</v>
      </c>
      <c r="AE114" s="38">
        <f t="shared" si="50"/>
        <v>239</v>
      </c>
      <c r="AF114" s="38">
        <f t="shared" si="51"/>
        <v>310.7</v>
      </c>
      <c r="AG114" s="38">
        <f t="shared" si="45"/>
        <v>71.699999999999989</v>
      </c>
      <c r="AH114" s="38">
        <v>-46.7</v>
      </c>
      <c r="AI114" s="38">
        <f t="shared" si="52"/>
        <v>264</v>
      </c>
      <c r="AJ114" s="38"/>
      <c r="AK114" s="38">
        <f t="shared" si="53"/>
        <v>264</v>
      </c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10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10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10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10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10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10"/>
      <c r="GJ114" s="9"/>
      <c r="GK114" s="9"/>
    </row>
    <row r="115" spans="1:193" s="2" customFormat="1" ht="16.95" customHeight="1">
      <c r="A115" s="14" t="s">
        <v>115</v>
      </c>
      <c r="B115" s="38">
        <v>0</v>
      </c>
      <c r="C115" s="38">
        <v>522</v>
      </c>
      <c r="D115" s="4">
        <f t="shared" si="46"/>
        <v>0</v>
      </c>
      <c r="E115" s="11">
        <v>0</v>
      </c>
      <c r="F115" s="5" t="s">
        <v>371</v>
      </c>
      <c r="G115" s="5" t="s">
        <v>371</v>
      </c>
      <c r="H115" s="5" t="s">
        <v>371</v>
      </c>
      <c r="I115" s="5" t="s">
        <v>371</v>
      </c>
      <c r="J115" s="5" t="s">
        <v>371</v>
      </c>
      <c r="K115" s="5" t="s">
        <v>371</v>
      </c>
      <c r="L115" s="5" t="s">
        <v>371</v>
      </c>
      <c r="M115" s="5" t="s">
        <v>371</v>
      </c>
      <c r="N115" s="38">
        <v>230.4</v>
      </c>
      <c r="O115" s="38">
        <v>464.1</v>
      </c>
      <c r="P115" s="4">
        <f t="shared" si="47"/>
        <v>2.0143229166666665</v>
      </c>
      <c r="Q115" s="11">
        <v>20</v>
      </c>
      <c r="R115" s="11">
        <v>1</v>
      </c>
      <c r="S115" s="11">
        <v>15</v>
      </c>
      <c r="T115" s="38">
        <v>0</v>
      </c>
      <c r="U115" s="38">
        <v>0</v>
      </c>
      <c r="V115" s="4">
        <f t="shared" si="48"/>
        <v>0</v>
      </c>
      <c r="W115" s="11">
        <v>0</v>
      </c>
      <c r="X115" s="38">
        <v>0</v>
      </c>
      <c r="Y115" s="38">
        <v>0</v>
      </c>
      <c r="Z115" s="4">
        <f t="shared" si="49"/>
        <v>0</v>
      </c>
      <c r="AA115" s="11">
        <v>0</v>
      </c>
      <c r="AB115" s="50">
        <f t="shared" si="54"/>
        <v>1.5796130952380951</v>
      </c>
      <c r="AC115" s="50">
        <f t="shared" si="55"/>
        <v>1.2379613095238096</v>
      </c>
      <c r="AD115" s="51">
        <v>3903</v>
      </c>
      <c r="AE115" s="38">
        <f t="shared" si="50"/>
        <v>354.81818181818181</v>
      </c>
      <c r="AF115" s="38">
        <f t="shared" si="51"/>
        <v>439.3</v>
      </c>
      <c r="AG115" s="38">
        <f t="shared" si="45"/>
        <v>84.481818181818198</v>
      </c>
      <c r="AH115" s="38">
        <v>-218</v>
      </c>
      <c r="AI115" s="38">
        <f t="shared" si="52"/>
        <v>221.3</v>
      </c>
      <c r="AJ115" s="38"/>
      <c r="AK115" s="38">
        <f t="shared" si="53"/>
        <v>221.3</v>
      </c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10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10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10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10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10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10"/>
      <c r="GJ115" s="9"/>
      <c r="GK115" s="9"/>
    </row>
    <row r="116" spans="1:193" s="2" customFormat="1" ht="16.95" customHeight="1">
      <c r="A116" s="14" t="s">
        <v>116</v>
      </c>
      <c r="B116" s="38">
        <v>859128</v>
      </c>
      <c r="C116" s="38">
        <v>775197.2</v>
      </c>
      <c r="D116" s="4">
        <f t="shared" si="46"/>
        <v>0.90230699034369732</v>
      </c>
      <c r="E116" s="11">
        <v>10</v>
      </c>
      <c r="F116" s="5" t="s">
        <v>371</v>
      </c>
      <c r="G116" s="5" t="s">
        <v>371</v>
      </c>
      <c r="H116" s="5" t="s">
        <v>371</v>
      </c>
      <c r="I116" s="5" t="s">
        <v>371</v>
      </c>
      <c r="J116" s="5" t="s">
        <v>371</v>
      </c>
      <c r="K116" s="5" t="s">
        <v>371</v>
      </c>
      <c r="L116" s="5" t="s">
        <v>371</v>
      </c>
      <c r="M116" s="5" t="s">
        <v>371</v>
      </c>
      <c r="N116" s="38">
        <v>1828.5</v>
      </c>
      <c r="O116" s="38">
        <v>20183.3</v>
      </c>
      <c r="P116" s="4">
        <f t="shared" si="47"/>
        <v>11.038173366147115</v>
      </c>
      <c r="Q116" s="11">
        <v>20</v>
      </c>
      <c r="R116" s="11">
        <v>1</v>
      </c>
      <c r="S116" s="11">
        <v>15</v>
      </c>
      <c r="T116" s="38">
        <v>11</v>
      </c>
      <c r="U116" s="38">
        <v>11.5</v>
      </c>
      <c r="V116" s="4">
        <f t="shared" si="48"/>
        <v>1.0454545454545454</v>
      </c>
      <c r="W116" s="11">
        <v>30</v>
      </c>
      <c r="X116" s="38">
        <v>10</v>
      </c>
      <c r="Y116" s="38">
        <v>0</v>
      </c>
      <c r="Z116" s="4">
        <f t="shared" si="49"/>
        <v>0</v>
      </c>
      <c r="AA116" s="11">
        <v>20</v>
      </c>
      <c r="AB116" s="50">
        <f t="shared" si="54"/>
        <v>2.9068439325264803</v>
      </c>
      <c r="AC116" s="50">
        <f t="shared" si="55"/>
        <v>1.3</v>
      </c>
      <c r="AD116" s="51">
        <v>2369</v>
      </c>
      <c r="AE116" s="38">
        <f t="shared" si="50"/>
        <v>215.36363636363637</v>
      </c>
      <c r="AF116" s="38">
        <f t="shared" si="51"/>
        <v>280</v>
      </c>
      <c r="AG116" s="38">
        <f t="shared" si="45"/>
        <v>64.636363636363626</v>
      </c>
      <c r="AH116" s="38">
        <v>27.6</v>
      </c>
      <c r="AI116" s="38">
        <f t="shared" si="52"/>
        <v>307.60000000000002</v>
      </c>
      <c r="AJ116" s="38"/>
      <c r="AK116" s="38">
        <f t="shared" si="53"/>
        <v>307.60000000000002</v>
      </c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10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10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10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10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10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10"/>
      <c r="GJ116" s="9"/>
      <c r="GK116" s="9"/>
    </row>
    <row r="117" spans="1:193" s="2" customFormat="1" ht="16.95" customHeight="1">
      <c r="A117" s="14" t="s">
        <v>117</v>
      </c>
      <c r="B117" s="38">
        <v>5816</v>
      </c>
      <c r="C117" s="38">
        <v>4633</v>
      </c>
      <c r="D117" s="4">
        <f t="shared" si="46"/>
        <v>0.79659559834938098</v>
      </c>
      <c r="E117" s="11">
        <v>10</v>
      </c>
      <c r="F117" s="5" t="s">
        <v>371</v>
      </c>
      <c r="G117" s="5" t="s">
        <v>371</v>
      </c>
      <c r="H117" s="5" t="s">
        <v>371</v>
      </c>
      <c r="I117" s="5" t="s">
        <v>371</v>
      </c>
      <c r="J117" s="5" t="s">
        <v>371</v>
      </c>
      <c r="K117" s="5" t="s">
        <v>371</v>
      </c>
      <c r="L117" s="5" t="s">
        <v>371</v>
      </c>
      <c r="M117" s="5" t="s">
        <v>371</v>
      </c>
      <c r="N117" s="38">
        <v>265.8</v>
      </c>
      <c r="O117" s="38">
        <v>284.10000000000002</v>
      </c>
      <c r="P117" s="4">
        <f t="shared" si="47"/>
        <v>1.0688487584650113</v>
      </c>
      <c r="Q117" s="11">
        <v>20</v>
      </c>
      <c r="R117" s="11">
        <v>1</v>
      </c>
      <c r="S117" s="11">
        <v>15</v>
      </c>
      <c r="T117" s="38">
        <v>6</v>
      </c>
      <c r="U117" s="38">
        <v>6.9</v>
      </c>
      <c r="V117" s="4">
        <f t="shared" si="48"/>
        <v>1.1500000000000001</v>
      </c>
      <c r="W117" s="11">
        <v>25</v>
      </c>
      <c r="X117" s="38">
        <v>0.3</v>
      </c>
      <c r="Y117" s="38">
        <v>1.9</v>
      </c>
      <c r="Z117" s="4">
        <f t="shared" si="49"/>
        <v>6.333333333333333</v>
      </c>
      <c r="AA117" s="11">
        <v>25</v>
      </c>
      <c r="AB117" s="50">
        <f t="shared" si="54"/>
        <v>2.4360659419592356</v>
      </c>
      <c r="AC117" s="50">
        <f t="shared" si="55"/>
        <v>1.3</v>
      </c>
      <c r="AD117" s="51">
        <v>4410</v>
      </c>
      <c r="AE117" s="38">
        <f t="shared" si="50"/>
        <v>400.90909090909093</v>
      </c>
      <c r="AF117" s="38">
        <f t="shared" si="51"/>
        <v>521.20000000000005</v>
      </c>
      <c r="AG117" s="38">
        <f t="shared" si="45"/>
        <v>120.29090909090911</v>
      </c>
      <c r="AH117" s="38">
        <v>-105.9</v>
      </c>
      <c r="AI117" s="38">
        <f t="shared" si="52"/>
        <v>415.30000000000007</v>
      </c>
      <c r="AJ117" s="38"/>
      <c r="AK117" s="38">
        <f t="shared" si="53"/>
        <v>415.3</v>
      </c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10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10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10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10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10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10"/>
      <c r="GJ117" s="9"/>
      <c r="GK117" s="9"/>
    </row>
    <row r="118" spans="1:193" s="2" customFormat="1" ht="16.95" customHeight="1">
      <c r="A118" s="14" t="s">
        <v>118</v>
      </c>
      <c r="B118" s="38">
        <v>2800</v>
      </c>
      <c r="C118" s="38">
        <v>6272.7</v>
      </c>
      <c r="D118" s="4">
        <f t="shared" si="46"/>
        <v>2.2402500000000001</v>
      </c>
      <c r="E118" s="11">
        <v>10</v>
      </c>
      <c r="F118" s="5" t="s">
        <v>371</v>
      </c>
      <c r="G118" s="5" t="s">
        <v>371</v>
      </c>
      <c r="H118" s="5" t="s">
        <v>371</v>
      </c>
      <c r="I118" s="5" t="s">
        <v>371</v>
      </c>
      <c r="J118" s="5" t="s">
        <v>371</v>
      </c>
      <c r="K118" s="5" t="s">
        <v>371</v>
      </c>
      <c r="L118" s="5" t="s">
        <v>371</v>
      </c>
      <c r="M118" s="5" t="s">
        <v>371</v>
      </c>
      <c r="N118" s="38">
        <v>73.7</v>
      </c>
      <c r="O118" s="38">
        <v>87.8</v>
      </c>
      <c r="P118" s="4">
        <f t="shared" si="47"/>
        <v>1.191316146540027</v>
      </c>
      <c r="Q118" s="11">
        <v>20</v>
      </c>
      <c r="R118" s="11">
        <v>1</v>
      </c>
      <c r="S118" s="11">
        <v>15</v>
      </c>
      <c r="T118" s="38">
        <v>7</v>
      </c>
      <c r="U118" s="38">
        <v>7.2</v>
      </c>
      <c r="V118" s="4">
        <f t="shared" si="48"/>
        <v>1.0285714285714287</v>
      </c>
      <c r="W118" s="11">
        <v>30</v>
      </c>
      <c r="X118" s="38">
        <v>0.5</v>
      </c>
      <c r="Y118" s="38">
        <v>0.5</v>
      </c>
      <c r="Z118" s="4">
        <f t="shared" si="49"/>
        <v>1</v>
      </c>
      <c r="AA118" s="11">
        <v>20</v>
      </c>
      <c r="AB118" s="50">
        <f t="shared" si="54"/>
        <v>1.1798522714520356</v>
      </c>
      <c r="AC118" s="50">
        <f t="shared" si="55"/>
        <v>1.1798522714520356</v>
      </c>
      <c r="AD118" s="51">
        <v>4260</v>
      </c>
      <c r="AE118" s="38">
        <f t="shared" si="50"/>
        <v>387.27272727272725</v>
      </c>
      <c r="AF118" s="38">
        <f t="shared" si="51"/>
        <v>456.9</v>
      </c>
      <c r="AG118" s="38">
        <f t="shared" si="45"/>
        <v>69.627272727272725</v>
      </c>
      <c r="AH118" s="38">
        <v>-88.8</v>
      </c>
      <c r="AI118" s="38">
        <f t="shared" si="52"/>
        <v>368.09999999999997</v>
      </c>
      <c r="AJ118" s="38"/>
      <c r="AK118" s="38">
        <f t="shared" si="53"/>
        <v>368.1</v>
      </c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10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10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10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10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10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10"/>
      <c r="GJ118" s="9"/>
      <c r="GK118" s="9"/>
    </row>
    <row r="119" spans="1:193" s="2" customFormat="1" ht="16.95" customHeight="1">
      <c r="A119" s="14" t="s">
        <v>119</v>
      </c>
      <c r="B119" s="38">
        <v>0</v>
      </c>
      <c r="C119" s="38">
        <v>0</v>
      </c>
      <c r="D119" s="4">
        <f t="shared" si="46"/>
        <v>0</v>
      </c>
      <c r="E119" s="11">
        <v>0</v>
      </c>
      <c r="F119" s="5" t="s">
        <v>371</v>
      </c>
      <c r="G119" s="5" t="s">
        <v>371</v>
      </c>
      <c r="H119" s="5" t="s">
        <v>371</v>
      </c>
      <c r="I119" s="5" t="s">
        <v>371</v>
      </c>
      <c r="J119" s="5" t="s">
        <v>371</v>
      </c>
      <c r="K119" s="5" t="s">
        <v>371</v>
      </c>
      <c r="L119" s="5" t="s">
        <v>371</v>
      </c>
      <c r="M119" s="5" t="s">
        <v>371</v>
      </c>
      <c r="N119" s="38">
        <v>131.6</v>
      </c>
      <c r="O119" s="38">
        <v>822.1</v>
      </c>
      <c r="P119" s="4">
        <f t="shared" si="47"/>
        <v>6.2469604863221893</v>
      </c>
      <c r="Q119" s="11">
        <v>20</v>
      </c>
      <c r="R119" s="11">
        <v>1</v>
      </c>
      <c r="S119" s="11">
        <v>15</v>
      </c>
      <c r="T119" s="38">
        <v>12</v>
      </c>
      <c r="U119" s="38">
        <v>12.4</v>
      </c>
      <c r="V119" s="4">
        <f t="shared" si="48"/>
        <v>1.0333333333333334</v>
      </c>
      <c r="W119" s="11">
        <v>30</v>
      </c>
      <c r="X119" s="38">
        <v>4</v>
      </c>
      <c r="Y119" s="38">
        <v>4.9000000000000004</v>
      </c>
      <c r="Z119" s="4">
        <f t="shared" si="49"/>
        <v>1.2250000000000001</v>
      </c>
      <c r="AA119" s="11">
        <v>20</v>
      </c>
      <c r="AB119" s="50">
        <f t="shared" si="54"/>
        <v>2.2992848203111032</v>
      </c>
      <c r="AC119" s="50">
        <f t="shared" si="55"/>
        <v>1.3</v>
      </c>
      <c r="AD119" s="51">
        <v>2854</v>
      </c>
      <c r="AE119" s="38">
        <f t="shared" si="50"/>
        <v>259.45454545454544</v>
      </c>
      <c r="AF119" s="38">
        <f t="shared" si="51"/>
        <v>337.3</v>
      </c>
      <c r="AG119" s="38">
        <f t="shared" si="45"/>
        <v>77.845454545454572</v>
      </c>
      <c r="AH119" s="38">
        <v>-51.1</v>
      </c>
      <c r="AI119" s="38">
        <f t="shared" si="52"/>
        <v>286.2</v>
      </c>
      <c r="AJ119" s="38"/>
      <c r="AK119" s="38">
        <f t="shared" si="53"/>
        <v>286.2</v>
      </c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10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10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10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10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10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10"/>
      <c r="GJ119" s="9"/>
      <c r="GK119" s="9"/>
    </row>
    <row r="120" spans="1:193" s="2" customFormat="1" ht="16.95" customHeight="1">
      <c r="A120" s="14" t="s">
        <v>120</v>
      </c>
      <c r="B120" s="38">
        <v>0</v>
      </c>
      <c r="C120" s="38">
        <v>0</v>
      </c>
      <c r="D120" s="4">
        <f t="shared" si="46"/>
        <v>0</v>
      </c>
      <c r="E120" s="11">
        <v>0</v>
      </c>
      <c r="F120" s="5" t="s">
        <v>371</v>
      </c>
      <c r="G120" s="5" t="s">
        <v>371</v>
      </c>
      <c r="H120" s="5" t="s">
        <v>371</v>
      </c>
      <c r="I120" s="5" t="s">
        <v>371</v>
      </c>
      <c r="J120" s="5" t="s">
        <v>371</v>
      </c>
      <c r="K120" s="5" t="s">
        <v>371</v>
      </c>
      <c r="L120" s="5" t="s">
        <v>371</v>
      </c>
      <c r="M120" s="5" t="s">
        <v>371</v>
      </c>
      <c r="N120" s="38">
        <v>1489.4</v>
      </c>
      <c r="O120" s="38">
        <v>1839.3</v>
      </c>
      <c r="P120" s="4">
        <f t="shared" si="47"/>
        <v>1.2349268161675842</v>
      </c>
      <c r="Q120" s="11">
        <v>20</v>
      </c>
      <c r="R120" s="11">
        <v>1</v>
      </c>
      <c r="S120" s="11">
        <v>15</v>
      </c>
      <c r="T120" s="38">
        <v>52</v>
      </c>
      <c r="U120" s="38">
        <v>58.7</v>
      </c>
      <c r="V120" s="4">
        <f t="shared" si="48"/>
        <v>1.1288461538461538</v>
      </c>
      <c r="W120" s="11">
        <v>5</v>
      </c>
      <c r="X120" s="38">
        <v>110</v>
      </c>
      <c r="Y120" s="38">
        <v>66.5</v>
      </c>
      <c r="Z120" s="4">
        <f t="shared" si="49"/>
        <v>0.6045454545454545</v>
      </c>
      <c r="AA120" s="11">
        <v>45</v>
      </c>
      <c r="AB120" s="50">
        <f t="shared" si="54"/>
        <v>0.85349779467209297</v>
      </c>
      <c r="AC120" s="50">
        <f t="shared" si="55"/>
        <v>0.85349779467209297</v>
      </c>
      <c r="AD120" s="51">
        <v>2512</v>
      </c>
      <c r="AE120" s="38">
        <f t="shared" si="50"/>
        <v>228.36363636363637</v>
      </c>
      <c r="AF120" s="38">
        <f t="shared" si="51"/>
        <v>194.9</v>
      </c>
      <c r="AG120" s="38">
        <f t="shared" si="45"/>
        <v>-33.463636363636368</v>
      </c>
      <c r="AH120" s="38">
        <v>-17.7</v>
      </c>
      <c r="AI120" s="38">
        <f t="shared" si="52"/>
        <v>177.20000000000002</v>
      </c>
      <c r="AJ120" s="38"/>
      <c r="AK120" s="38">
        <f t="shared" si="53"/>
        <v>177.2</v>
      </c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10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10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10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10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10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10"/>
      <c r="GJ120" s="9"/>
      <c r="GK120" s="9"/>
    </row>
    <row r="121" spans="1:193" s="2" customFormat="1" ht="16.95" customHeight="1">
      <c r="A121" s="19" t="s">
        <v>121</v>
      </c>
      <c r="B121" s="7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10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10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10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10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10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10"/>
      <c r="GJ121" s="9"/>
      <c r="GK121" s="9"/>
    </row>
    <row r="122" spans="1:193" s="2" customFormat="1" ht="16.95" customHeight="1">
      <c r="A122" s="14" t="s">
        <v>122</v>
      </c>
      <c r="B122" s="38">
        <v>61</v>
      </c>
      <c r="C122" s="38">
        <v>54</v>
      </c>
      <c r="D122" s="4">
        <f t="shared" si="46"/>
        <v>0.88524590163934425</v>
      </c>
      <c r="E122" s="11">
        <v>10</v>
      </c>
      <c r="F122" s="5" t="s">
        <v>371</v>
      </c>
      <c r="G122" s="5" t="s">
        <v>371</v>
      </c>
      <c r="H122" s="5" t="s">
        <v>371</v>
      </c>
      <c r="I122" s="5" t="s">
        <v>371</v>
      </c>
      <c r="J122" s="5" t="s">
        <v>371</v>
      </c>
      <c r="K122" s="5" t="s">
        <v>371</v>
      </c>
      <c r="L122" s="5" t="s">
        <v>371</v>
      </c>
      <c r="M122" s="5" t="s">
        <v>371</v>
      </c>
      <c r="N122" s="38">
        <v>111.7</v>
      </c>
      <c r="O122" s="38">
        <v>91</v>
      </c>
      <c r="P122" s="4">
        <f t="shared" si="47"/>
        <v>0.81468218442256046</v>
      </c>
      <c r="Q122" s="11">
        <v>20</v>
      </c>
      <c r="R122" s="11">
        <v>1</v>
      </c>
      <c r="S122" s="11">
        <v>15</v>
      </c>
      <c r="T122" s="38">
        <v>5</v>
      </c>
      <c r="U122" s="38">
        <v>5</v>
      </c>
      <c r="V122" s="4">
        <f t="shared" si="48"/>
        <v>1</v>
      </c>
      <c r="W122" s="11">
        <v>25</v>
      </c>
      <c r="X122" s="38">
        <v>1.5</v>
      </c>
      <c r="Y122" s="38">
        <v>3.1</v>
      </c>
      <c r="Z122" s="4">
        <f t="shared" si="49"/>
        <v>2.0666666666666669</v>
      </c>
      <c r="AA122" s="11">
        <v>25</v>
      </c>
      <c r="AB122" s="50">
        <f t="shared" si="54"/>
        <v>1.2296080986474875</v>
      </c>
      <c r="AC122" s="50">
        <f t="shared" si="55"/>
        <v>1.2029608098647486</v>
      </c>
      <c r="AD122" s="51">
        <v>924</v>
      </c>
      <c r="AE122" s="38">
        <f t="shared" si="50"/>
        <v>84</v>
      </c>
      <c r="AF122" s="38">
        <f t="shared" si="51"/>
        <v>101</v>
      </c>
      <c r="AG122" s="38">
        <f t="shared" si="45"/>
        <v>17</v>
      </c>
      <c r="AH122" s="38">
        <v>-0.6</v>
      </c>
      <c r="AI122" s="38">
        <f t="shared" si="52"/>
        <v>100.4</v>
      </c>
      <c r="AJ122" s="38"/>
      <c r="AK122" s="38">
        <f t="shared" si="53"/>
        <v>100.4</v>
      </c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10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10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10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10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10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10"/>
      <c r="GJ122" s="9"/>
      <c r="GK122" s="9"/>
    </row>
    <row r="123" spans="1:193" s="2" customFormat="1" ht="16.95" customHeight="1">
      <c r="A123" s="14" t="s">
        <v>123</v>
      </c>
      <c r="B123" s="38">
        <v>6900</v>
      </c>
      <c r="C123" s="38">
        <v>5948.7</v>
      </c>
      <c r="D123" s="4">
        <f t="shared" si="46"/>
        <v>0.86213043478260865</v>
      </c>
      <c r="E123" s="11">
        <v>10</v>
      </c>
      <c r="F123" s="5" t="s">
        <v>371</v>
      </c>
      <c r="G123" s="5" t="s">
        <v>371</v>
      </c>
      <c r="H123" s="5" t="s">
        <v>371</v>
      </c>
      <c r="I123" s="5" t="s">
        <v>371</v>
      </c>
      <c r="J123" s="5" t="s">
        <v>371</v>
      </c>
      <c r="K123" s="5" t="s">
        <v>371</v>
      </c>
      <c r="L123" s="5" t="s">
        <v>371</v>
      </c>
      <c r="M123" s="5" t="s">
        <v>371</v>
      </c>
      <c r="N123" s="38">
        <v>789.1</v>
      </c>
      <c r="O123" s="38">
        <v>727.1</v>
      </c>
      <c r="P123" s="4">
        <f t="shared" si="47"/>
        <v>0.92142947661893293</v>
      </c>
      <c r="Q123" s="11">
        <v>20</v>
      </c>
      <c r="R123" s="11">
        <v>1</v>
      </c>
      <c r="S123" s="11">
        <v>15</v>
      </c>
      <c r="T123" s="38">
        <v>8.8000000000000007</v>
      </c>
      <c r="U123" s="38">
        <v>10.5</v>
      </c>
      <c r="V123" s="4">
        <f t="shared" si="48"/>
        <v>1.1931818181818181</v>
      </c>
      <c r="W123" s="11">
        <v>30</v>
      </c>
      <c r="X123" s="38">
        <v>1.9</v>
      </c>
      <c r="Y123" s="38">
        <v>2.1</v>
      </c>
      <c r="Z123" s="4">
        <f t="shared" si="49"/>
        <v>1.1052631578947369</v>
      </c>
      <c r="AA123" s="11">
        <v>20</v>
      </c>
      <c r="AB123" s="50">
        <f t="shared" si="54"/>
        <v>1.0521117008795162</v>
      </c>
      <c r="AC123" s="50">
        <f t="shared" si="55"/>
        <v>1.0521117008795162</v>
      </c>
      <c r="AD123" s="51">
        <v>2038</v>
      </c>
      <c r="AE123" s="38">
        <f t="shared" si="50"/>
        <v>185.27272727272728</v>
      </c>
      <c r="AF123" s="38">
        <f t="shared" si="51"/>
        <v>194.9</v>
      </c>
      <c r="AG123" s="38">
        <f t="shared" si="45"/>
        <v>9.6272727272727252</v>
      </c>
      <c r="AH123" s="38">
        <v>-0.8</v>
      </c>
      <c r="AI123" s="38">
        <f t="shared" si="52"/>
        <v>194.1</v>
      </c>
      <c r="AJ123" s="38"/>
      <c r="AK123" s="38">
        <f t="shared" si="53"/>
        <v>194.1</v>
      </c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10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10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10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10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10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10"/>
      <c r="GJ123" s="9"/>
      <c r="GK123" s="9"/>
    </row>
    <row r="124" spans="1:193" s="2" customFormat="1" ht="16.95" customHeight="1">
      <c r="A124" s="14" t="s">
        <v>124</v>
      </c>
      <c r="B124" s="38">
        <v>40</v>
      </c>
      <c r="C124" s="38">
        <v>64.8</v>
      </c>
      <c r="D124" s="4">
        <f t="shared" si="46"/>
        <v>1.6199999999999999</v>
      </c>
      <c r="E124" s="11">
        <v>10</v>
      </c>
      <c r="F124" s="5" t="s">
        <v>371</v>
      </c>
      <c r="G124" s="5" t="s">
        <v>371</v>
      </c>
      <c r="H124" s="5" t="s">
        <v>371</v>
      </c>
      <c r="I124" s="5" t="s">
        <v>371</v>
      </c>
      <c r="J124" s="5" t="s">
        <v>371</v>
      </c>
      <c r="K124" s="5" t="s">
        <v>371</v>
      </c>
      <c r="L124" s="5" t="s">
        <v>371</v>
      </c>
      <c r="M124" s="5" t="s">
        <v>371</v>
      </c>
      <c r="N124" s="38">
        <v>110.5</v>
      </c>
      <c r="O124" s="38">
        <v>83</v>
      </c>
      <c r="P124" s="4">
        <f t="shared" si="47"/>
        <v>0.75113122171945701</v>
      </c>
      <c r="Q124" s="11">
        <v>20</v>
      </c>
      <c r="R124" s="11">
        <v>1</v>
      </c>
      <c r="S124" s="11">
        <v>15</v>
      </c>
      <c r="T124" s="38">
        <v>3.5</v>
      </c>
      <c r="U124" s="38">
        <v>8.5</v>
      </c>
      <c r="V124" s="4">
        <f t="shared" si="48"/>
        <v>2.4285714285714284</v>
      </c>
      <c r="W124" s="11">
        <v>15</v>
      </c>
      <c r="X124" s="38">
        <v>1.5</v>
      </c>
      <c r="Y124" s="38">
        <v>3.9</v>
      </c>
      <c r="Z124" s="4">
        <f t="shared" si="49"/>
        <v>2.6</v>
      </c>
      <c r="AA124" s="11">
        <v>35</v>
      </c>
      <c r="AB124" s="50">
        <f t="shared" si="54"/>
        <v>1.8279073248732689</v>
      </c>
      <c r="AC124" s="50">
        <f t="shared" si="55"/>
        <v>1.2627907324873269</v>
      </c>
      <c r="AD124" s="51">
        <v>820</v>
      </c>
      <c r="AE124" s="38">
        <f t="shared" si="50"/>
        <v>74.545454545454547</v>
      </c>
      <c r="AF124" s="38">
        <f t="shared" si="51"/>
        <v>94.1</v>
      </c>
      <c r="AG124" s="38">
        <f t="shared" si="45"/>
        <v>19.554545454545448</v>
      </c>
      <c r="AH124" s="38">
        <v>0.2</v>
      </c>
      <c r="AI124" s="38">
        <f t="shared" si="52"/>
        <v>94.3</v>
      </c>
      <c r="AJ124" s="38"/>
      <c r="AK124" s="38">
        <f t="shared" si="53"/>
        <v>94.3</v>
      </c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10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10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10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10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10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10"/>
      <c r="GJ124" s="9"/>
      <c r="GK124" s="9"/>
    </row>
    <row r="125" spans="1:193" s="2" customFormat="1" ht="16.95" customHeight="1">
      <c r="A125" s="14" t="s">
        <v>125</v>
      </c>
      <c r="B125" s="38">
        <v>91</v>
      </c>
      <c r="C125" s="38">
        <v>64</v>
      </c>
      <c r="D125" s="4">
        <f t="shared" si="46"/>
        <v>0.70329670329670335</v>
      </c>
      <c r="E125" s="11">
        <v>10</v>
      </c>
      <c r="F125" s="5" t="s">
        <v>371</v>
      </c>
      <c r="G125" s="5" t="s">
        <v>371</v>
      </c>
      <c r="H125" s="5" t="s">
        <v>371</v>
      </c>
      <c r="I125" s="5" t="s">
        <v>371</v>
      </c>
      <c r="J125" s="5" t="s">
        <v>371</v>
      </c>
      <c r="K125" s="5" t="s">
        <v>371</v>
      </c>
      <c r="L125" s="5" t="s">
        <v>371</v>
      </c>
      <c r="M125" s="5" t="s">
        <v>371</v>
      </c>
      <c r="N125" s="38">
        <v>170.6</v>
      </c>
      <c r="O125" s="38">
        <v>103.2</v>
      </c>
      <c r="P125" s="4">
        <f t="shared" si="47"/>
        <v>0.60492379835873389</v>
      </c>
      <c r="Q125" s="11">
        <v>20</v>
      </c>
      <c r="R125" s="11">
        <v>1</v>
      </c>
      <c r="S125" s="11">
        <v>15</v>
      </c>
      <c r="T125" s="38">
        <v>72</v>
      </c>
      <c r="U125" s="38">
        <v>87.3</v>
      </c>
      <c r="V125" s="4">
        <f t="shared" si="48"/>
        <v>1.2124999999999999</v>
      </c>
      <c r="W125" s="11">
        <v>30</v>
      </c>
      <c r="X125" s="38">
        <v>3</v>
      </c>
      <c r="Y125" s="38">
        <v>3.3</v>
      </c>
      <c r="Z125" s="4">
        <f t="shared" si="49"/>
        <v>1.0999999999999999</v>
      </c>
      <c r="AA125" s="11">
        <v>20</v>
      </c>
      <c r="AB125" s="50">
        <f t="shared" si="54"/>
        <v>0.9737520315804391</v>
      </c>
      <c r="AC125" s="50">
        <f t="shared" si="55"/>
        <v>0.9737520315804391</v>
      </c>
      <c r="AD125" s="51">
        <v>1778</v>
      </c>
      <c r="AE125" s="38">
        <f t="shared" si="50"/>
        <v>161.63636363636363</v>
      </c>
      <c r="AF125" s="38">
        <f t="shared" si="51"/>
        <v>157.4</v>
      </c>
      <c r="AG125" s="38">
        <f t="shared" si="45"/>
        <v>-4.2363636363636203</v>
      </c>
      <c r="AH125" s="38">
        <v>4.9000000000000004</v>
      </c>
      <c r="AI125" s="38">
        <f t="shared" si="52"/>
        <v>162.30000000000001</v>
      </c>
      <c r="AJ125" s="38"/>
      <c r="AK125" s="38">
        <f t="shared" si="53"/>
        <v>162.30000000000001</v>
      </c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10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0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10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10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10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10"/>
      <c r="GJ125" s="9"/>
      <c r="GK125" s="9"/>
    </row>
    <row r="126" spans="1:193" s="2" customFormat="1" ht="16.95" customHeight="1">
      <c r="A126" s="14" t="s">
        <v>126</v>
      </c>
      <c r="B126" s="38">
        <v>148</v>
      </c>
      <c r="C126" s="38">
        <v>118</v>
      </c>
      <c r="D126" s="4">
        <f t="shared" si="46"/>
        <v>0.79729729729729726</v>
      </c>
      <c r="E126" s="11">
        <v>10</v>
      </c>
      <c r="F126" s="5" t="s">
        <v>371</v>
      </c>
      <c r="G126" s="5" t="s">
        <v>371</v>
      </c>
      <c r="H126" s="5" t="s">
        <v>371</v>
      </c>
      <c r="I126" s="5" t="s">
        <v>371</v>
      </c>
      <c r="J126" s="5" t="s">
        <v>371</v>
      </c>
      <c r="K126" s="5" t="s">
        <v>371</v>
      </c>
      <c r="L126" s="5" t="s">
        <v>371</v>
      </c>
      <c r="M126" s="5" t="s">
        <v>371</v>
      </c>
      <c r="N126" s="38">
        <v>94.9</v>
      </c>
      <c r="O126" s="38">
        <v>92.9</v>
      </c>
      <c r="P126" s="4">
        <f t="shared" si="47"/>
        <v>0.97892518440463649</v>
      </c>
      <c r="Q126" s="11">
        <v>20</v>
      </c>
      <c r="R126" s="11">
        <v>1</v>
      </c>
      <c r="S126" s="11">
        <v>15</v>
      </c>
      <c r="T126" s="38">
        <v>5.6</v>
      </c>
      <c r="U126" s="38">
        <v>17.2</v>
      </c>
      <c r="V126" s="4">
        <f t="shared" si="48"/>
        <v>3.0714285714285716</v>
      </c>
      <c r="W126" s="11">
        <v>30</v>
      </c>
      <c r="X126" s="38">
        <v>2</v>
      </c>
      <c r="Y126" s="38">
        <v>2.2000000000000002</v>
      </c>
      <c r="Z126" s="4">
        <f t="shared" si="49"/>
        <v>1.1000000000000001</v>
      </c>
      <c r="AA126" s="11">
        <v>20</v>
      </c>
      <c r="AB126" s="50">
        <f t="shared" si="54"/>
        <v>1.6494140400412933</v>
      </c>
      <c r="AC126" s="50">
        <f t="shared" si="55"/>
        <v>1.2449414040041293</v>
      </c>
      <c r="AD126" s="51">
        <v>1380</v>
      </c>
      <c r="AE126" s="38">
        <f t="shared" si="50"/>
        <v>125.45454545454545</v>
      </c>
      <c r="AF126" s="38">
        <f t="shared" si="51"/>
        <v>156.19999999999999</v>
      </c>
      <c r="AG126" s="38">
        <f t="shared" si="45"/>
        <v>30.745454545454535</v>
      </c>
      <c r="AH126" s="38">
        <v>-0.8</v>
      </c>
      <c r="AI126" s="38">
        <f t="shared" si="52"/>
        <v>155.39999999999998</v>
      </c>
      <c r="AJ126" s="38"/>
      <c r="AK126" s="38">
        <f t="shared" si="53"/>
        <v>155.4</v>
      </c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10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0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10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10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10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10"/>
      <c r="GJ126" s="9"/>
      <c r="GK126" s="9"/>
    </row>
    <row r="127" spans="1:193" s="2" customFormat="1" ht="16.95" customHeight="1">
      <c r="A127" s="14" t="s">
        <v>127</v>
      </c>
      <c r="B127" s="38">
        <v>146</v>
      </c>
      <c r="C127" s="38">
        <v>142</v>
      </c>
      <c r="D127" s="4">
        <f t="shared" si="46"/>
        <v>0.9726027397260274</v>
      </c>
      <c r="E127" s="11">
        <v>10</v>
      </c>
      <c r="F127" s="5" t="s">
        <v>371</v>
      </c>
      <c r="G127" s="5" t="s">
        <v>371</v>
      </c>
      <c r="H127" s="5" t="s">
        <v>371</v>
      </c>
      <c r="I127" s="5" t="s">
        <v>371</v>
      </c>
      <c r="J127" s="5" t="s">
        <v>371</v>
      </c>
      <c r="K127" s="5" t="s">
        <v>371</v>
      </c>
      <c r="L127" s="5" t="s">
        <v>371</v>
      </c>
      <c r="M127" s="5" t="s">
        <v>371</v>
      </c>
      <c r="N127" s="38">
        <v>559</v>
      </c>
      <c r="O127" s="38">
        <v>39.5</v>
      </c>
      <c r="P127" s="4">
        <f t="shared" si="47"/>
        <v>7.0661896243291597E-2</v>
      </c>
      <c r="Q127" s="11">
        <v>20</v>
      </c>
      <c r="R127" s="11">
        <v>1</v>
      </c>
      <c r="S127" s="11">
        <v>15</v>
      </c>
      <c r="T127" s="38">
        <v>32.299999999999997</v>
      </c>
      <c r="U127" s="38">
        <v>16.3</v>
      </c>
      <c r="V127" s="4">
        <f t="shared" si="48"/>
        <v>0.50464396284829727</v>
      </c>
      <c r="W127" s="11">
        <v>30</v>
      </c>
      <c r="X127" s="38">
        <v>1.5</v>
      </c>
      <c r="Y127" s="38">
        <v>1.5</v>
      </c>
      <c r="Z127" s="4">
        <f t="shared" si="49"/>
        <v>1</v>
      </c>
      <c r="AA127" s="11">
        <v>20</v>
      </c>
      <c r="AB127" s="50">
        <f t="shared" si="54"/>
        <v>0.64503772850078966</v>
      </c>
      <c r="AC127" s="50">
        <f t="shared" si="55"/>
        <v>0.64503772850078966</v>
      </c>
      <c r="AD127" s="51">
        <v>1269</v>
      </c>
      <c r="AE127" s="38">
        <f t="shared" si="50"/>
        <v>115.36363636363636</v>
      </c>
      <c r="AF127" s="38">
        <f t="shared" si="51"/>
        <v>74.400000000000006</v>
      </c>
      <c r="AG127" s="38">
        <f t="shared" si="45"/>
        <v>-40.963636363636354</v>
      </c>
      <c r="AH127" s="38">
        <v>0</v>
      </c>
      <c r="AI127" s="38">
        <f t="shared" si="52"/>
        <v>74.400000000000006</v>
      </c>
      <c r="AJ127" s="38"/>
      <c r="AK127" s="38">
        <f t="shared" si="53"/>
        <v>74.400000000000006</v>
      </c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10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10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10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10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10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10"/>
      <c r="GJ127" s="9"/>
      <c r="GK127" s="9"/>
    </row>
    <row r="128" spans="1:193" s="2" customFormat="1" ht="16.95" customHeight="1">
      <c r="A128" s="14" t="s">
        <v>128</v>
      </c>
      <c r="B128" s="38">
        <v>178</v>
      </c>
      <c r="C128" s="38">
        <v>138</v>
      </c>
      <c r="D128" s="4">
        <f t="shared" si="46"/>
        <v>0.7752808988764045</v>
      </c>
      <c r="E128" s="11">
        <v>10</v>
      </c>
      <c r="F128" s="5" t="s">
        <v>371</v>
      </c>
      <c r="G128" s="5" t="s">
        <v>371</v>
      </c>
      <c r="H128" s="5" t="s">
        <v>371</v>
      </c>
      <c r="I128" s="5" t="s">
        <v>371</v>
      </c>
      <c r="J128" s="5" t="s">
        <v>371</v>
      </c>
      <c r="K128" s="5" t="s">
        <v>371</v>
      </c>
      <c r="L128" s="5" t="s">
        <v>371</v>
      </c>
      <c r="M128" s="5" t="s">
        <v>371</v>
      </c>
      <c r="N128" s="38">
        <v>120.3</v>
      </c>
      <c r="O128" s="38">
        <v>153.6</v>
      </c>
      <c r="P128" s="4">
        <f t="shared" si="47"/>
        <v>1.2768079800498753</v>
      </c>
      <c r="Q128" s="11">
        <v>20</v>
      </c>
      <c r="R128" s="11">
        <v>1</v>
      </c>
      <c r="S128" s="11">
        <v>15</v>
      </c>
      <c r="T128" s="38">
        <v>27.1</v>
      </c>
      <c r="U128" s="38">
        <v>34.200000000000003</v>
      </c>
      <c r="V128" s="4">
        <f t="shared" si="48"/>
        <v>1.2619926199261993</v>
      </c>
      <c r="W128" s="11">
        <v>35</v>
      </c>
      <c r="X128" s="38">
        <v>2</v>
      </c>
      <c r="Y128" s="38">
        <v>2</v>
      </c>
      <c r="Z128" s="4">
        <f t="shared" si="49"/>
        <v>1</v>
      </c>
      <c r="AA128" s="11">
        <v>15</v>
      </c>
      <c r="AB128" s="50">
        <f t="shared" si="54"/>
        <v>1.1311443188124055</v>
      </c>
      <c r="AC128" s="50">
        <f t="shared" si="55"/>
        <v>1.1311443188124055</v>
      </c>
      <c r="AD128" s="51">
        <v>1278</v>
      </c>
      <c r="AE128" s="38">
        <f t="shared" si="50"/>
        <v>116.18181818181819</v>
      </c>
      <c r="AF128" s="38">
        <f t="shared" si="51"/>
        <v>131.4</v>
      </c>
      <c r="AG128" s="38">
        <f t="shared" si="45"/>
        <v>15.218181818181819</v>
      </c>
      <c r="AH128" s="38">
        <v>-6.2</v>
      </c>
      <c r="AI128" s="38">
        <f t="shared" si="52"/>
        <v>125.2</v>
      </c>
      <c r="AJ128" s="38"/>
      <c r="AK128" s="38">
        <f t="shared" si="53"/>
        <v>125.2</v>
      </c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10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10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10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10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10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10"/>
      <c r="GJ128" s="9"/>
      <c r="GK128" s="9"/>
    </row>
    <row r="129" spans="1:193" s="2" customFormat="1" ht="16.95" customHeight="1">
      <c r="A129" s="19" t="s">
        <v>129</v>
      </c>
      <c r="B129" s="7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10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10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10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10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10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10"/>
      <c r="GJ129" s="9"/>
      <c r="GK129" s="9"/>
    </row>
    <row r="130" spans="1:193" s="2" customFormat="1" ht="16.95" customHeight="1">
      <c r="A130" s="14" t="s">
        <v>130</v>
      </c>
      <c r="B130" s="38">
        <v>1000</v>
      </c>
      <c r="C130" s="38">
        <v>1862</v>
      </c>
      <c r="D130" s="4">
        <f t="shared" si="46"/>
        <v>1.8620000000000001</v>
      </c>
      <c r="E130" s="11">
        <v>10</v>
      </c>
      <c r="F130" s="5" t="s">
        <v>371</v>
      </c>
      <c r="G130" s="5" t="s">
        <v>371</v>
      </c>
      <c r="H130" s="5" t="s">
        <v>371</v>
      </c>
      <c r="I130" s="5" t="s">
        <v>371</v>
      </c>
      <c r="J130" s="5" t="s">
        <v>371</v>
      </c>
      <c r="K130" s="5" t="s">
        <v>371</v>
      </c>
      <c r="L130" s="5" t="s">
        <v>371</v>
      </c>
      <c r="M130" s="5" t="s">
        <v>371</v>
      </c>
      <c r="N130" s="38">
        <v>177.3</v>
      </c>
      <c r="O130" s="38">
        <v>174.8</v>
      </c>
      <c r="P130" s="4">
        <f t="shared" si="47"/>
        <v>0.98589960518894526</v>
      </c>
      <c r="Q130" s="11">
        <v>20</v>
      </c>
      <c r="R130" s="11">
        <v>1</v>
      </c>
      <c r="S130" s="11">
        <v>15</v>
      </c>
      <c r="T130" s="38">
        <v>340</v>
      </c>
      <c r="U130" s="38">
        <v>280.3</v>
      </c>
      <c r="V130" s="4">
        <f t="shared" si="48"/>
        <v>0.8244117647058824</v>
      </c>
      <c r="W130" s="11">
        <v>30</v>
      </c>
      <c r="X130" s="38">
        <v>14</v>
      </c>
      <c r="Y130" s="38">
        <v>13.5</v>
      </c>
      <c r="Z130" s="4">
        <f t="shared" si="49"/>
        <v>0.9642857142857143</v>
      </c>
      <c r="AA130" s="11">
        <v>20</v>
      </c>
      <c r="AB130" s="50">
        <f t="shared" si="54"/>
        <v>1.024800624533365</v>
      </c>
      <c r="AC130" s="50">
        <f t="shared" si="55"/>
        <v>1.024800624533365</v>
      </c>
      <c r="AD130" s="51">
        <v>184</v>
      </c>
      <c r="AE130" s="38">
        <f t="shared" si="50"/>
        <v>16.727272727272727</v>
      </c>
      <c r="AF130" s="38">
        <f t="shared" si="51"/>
        <v>17.100000000000001</v>
      </c>
      <c r="AG130" s="38">
        <f t="shared" si="45"/>
        <v>0.37272727272727479</v>
      </c>
      <c r="AH130" s="38">
        <v>-1.5</v>
      </c>
      <c r="AI130" s="38">
        <f t="shared" si="52"/>
        <v>15.600000000000001</v>
      </c>
      <c r="AJ130" s="38"/>
      <c r="AK130" s="38">
        <f t="shared" si="53"/>
        <v>15.6</v>
      </c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10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10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10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10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10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10"/>
      <c r="GJ130" s="9"/>
      <c r="GK130" s="9"/>
    </row>
    <row r="131" spans="1:193" s="2" customFormat="1" ht="16.95" customHeight="1">
      <c r="A131" s="14" t="s">
        <v>131</v>
      </c>
      <c r="B131" s="38">
        <v>0</v>
      </c>
      <c r="C131" s="38">
        <v>0</v>
      </c>
      <c r="D131" s="4">
        <f t="shared" si="46"/>
        <v>0</v>
      </c>
      <c r="E131" s="11">
        <v>0</v>
      </c>
      <c r="F131" s="5" t="s">
        <v>371</v>
      </c>
      <c r="G131" s="5" t="s">
        <v>371</v>
      </c>
      <c r="H131" s="5" t="s">
        <v>371</v>
      </c>
      <c r="I131" s="5" t="s">
        <v>371</v>
      </c>
      <c r="J131" s="5" t="s">
        <v>371</v>
      </c>
      <c r="K131" s="5" t="s">
        <v>371</v>
      </c>
      <c r="L131" s="5" t="s">
        <v>371</v>
      </c>
      <c r="M131" s="5" t="s">
        <v>371</v>
      </c>
      <c r="N131" s="38">
        <v>130.4</v>
      </c>
      <c r="O131" s="38">
        <v>68.2</v>
      </c>
      <c r="P131" s="4">
        <f t="shared" si="47"/>
        <v>0.52300613496932513</v>
      </c>
      <c r="Q131" s="11">
        <v>20</v>
      </c>
      <c r="R131" s="11">
        <v>1</v>
      </c>
      <c r="S131" s="11">
        <v>15</v>
      </c>
      <c r="T131" s="38">
        <v>125</v>
      </c>
      <c r="U131" s="38">
        <v>156.80000000000001</v>
      </c>
      <c r="V131" s="4">
        <f t="shared" si="48"/>
        <v>1.2544000000000002</v>
      </c>
      <c r="W131" s="11">
        <v>40</v>
      </c>
      <c r="X131" s="38">
        <v>4</v>
      </c>
      <c r="Y131" s="38">
        <v>4.8</v>
      </c>
      <c r="Z131" s="4">
        <f t="shared" si="49"/>
        <v>1.2</v>
      </c>
      <c r="AA131" s="11">
        <v>10</v>
      </c>
      <c r="AB131" s="50">
        <f t="shared" si="54"/>
        <v>1.0310132082280765</v>
      </c>
      <c r="AC131" s="50">
        <f t="shared" si="55"/>
        <v>1.0310132082280765</v>
      </c>
      <c r="AD131" s="51">
        <v>2072</v>
      </c>
      <c r="AE131" s="38">
        <f t="shared" si="50"/>
        <v>188.36363636363637</v>
      </c>
      <c r="AF131" s="38">
        <f t="shared" si="51"/>
        <v>194.2</v>
      </c>
      <c r="AG131" s="38">
        <f t="shared" si="45"/>
        <v>5.8363636363636147</v>
      </c>
      <c r="AH131" s="38">
        <v>-13.4</v>
      </c>
      <c r="AI131" s="38">
        <f t="shared" si="52"/>
        <v>180.79999999999998</v>
      </c>
      <c r="AJ131" s="38"/>
      <c r="AK131" s="38">
        <f t="shared" si="53"/>
        <v>180.8</v>
      </c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10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10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10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10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10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10"/>
      <c r="GJ131" s="9"/>
      <c r="GK131" s="9"/>
    </row>
    <row r="132" spans="1:193" s="2" customFormat="1" ht="16.95" customHeight="1">
      <c r="A132" s="14" t="s">
        <v>132</v>
      </c>
      <c r="B132" s="38">
        <v>3700</v>
      </c>
      <c r="C132" s="38">
        <v>3491.3</v>
      </c>
      <c r="D132" s="4">
        <f t="shared" si="46"/>
        <v>0.9435945945945946</v>
      </c>
      <c r="E132" s="11">
        <v>10</v>
      </c>
      <c r="F132" s="5" t="s">
        <v>371</v>
      </c>
      <c r="G132" s="5" t="s">
        <v>371</v>
      </c>
      <c r="H132" s="5" t="s">
        <v>371</v>
      </c>
      <c r="I132" s="5" t="s">
        <v>371</v>
      </c>
      <c r="J132" s="5" t="s">
        <v>371</v>
      </c>
      <c r="K132" s="5" t="s">
        <v>371</v>
      </c>
      <c r="L132" s="5" t="s">
        <v>371</v>
      </c>
      <c r="M132" s="5" t="s">
        <v>371</v>
      </c>
      <c r="N132" s="38">
        <v>616.6</v>
      </c>
      <c r="O132" s="38">
        <v>653.6</v>
      </c>
      <c r="P132" s="4">
        <f t="shared" si="47"/>
        <v>1.0600064871878041</v>
      </c>
      <c r="Q132" s="11">
        <v>20</v>
      </c>
      <c r="R132" s="11">
        <v>1</v>
      </c>
      <c r="S132" s="11">
        <v>15</v>
      </c>
      <c r="T132" s="38">
        <v>62</v>
      </c>
      <c r="U132" s="38">
        <v>60.3</v>
      </c>
      <c r="V132" s="4">
        <f t="shared" si="48"/>
        <v>0.97258064516129028</v>
      </c>
      <c r="W132" s="11">
        <v>20</v>
      </c>
      <c r="X132" s="38">
        <v>5</v>
      </c>
      <c r="Y132" s="38">
        <v>7.5</v>
      </c>
      <c r="Z132" s="4">
        <f t="shared" si="49"/>
        <v>1.5</v>
      </c>
      <c r="AA132" s="11">
        <v>30</v>
      </c>
      <c r="AB132" s="50">
        <f t="shared" si="54"/>
        <v>1.1588177746623982</v>
      </c>
      <c r="AC132" s="50">
        <f t="shared" si="55"/>
        <v>1.1588177746623982</v>
      </c>
      <c r="AD132" s="51">
        <v>2938</v>
      </c>
      <c r="AE132" s="38">
        <f t="shared" si="50"/>
        <v>267.09090909090907</v>
      </c>
      <c r="AF132" s="38">
        <f t="shared" si="51"/>
        <v>309.5</v>
      </c>
      <c r="AG132" s="38">
        <f t="shared" si="45"/>
        <v>42.409090909090935</v>
      </c>
      <c r="AH132" s="38">
        <v>2.2000000000000002</v>
      </c>
      <c r="AI132" s="38">
        <f t="shared" si="52"/>
        <v>311.7</v>
      </c>
      <c r="AJ132" s="38"/>
      <c r="AK132" s="38">
        <f t="shared" si="53"/>
        <v>311.7</v>
      </c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10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10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10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10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10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10"/>
      <c r="GJ132" s="9"/>
      <c r="GK132" s="9"/>
    </row>
    <row r="133" spans="1:193" s="2" customFormat="1" ht="16.95" customHeight="1">
      <c r="A133" s="14" t="s">
        <v>133</v>
      </c>
      <c r="B133" s="38">
        <v>0</v>
      </c>
      <c r="C133" s="38">
        <v>0</v>
      </c>
      <c r="D133" s="4">
        <f t="shared" si="46"/>
        <v>0</v>
      </c>
      <c r="E133" s="11">
        <v>0</v>
      </c>
      <c r="F133" s="5" t="s">
        <v>371</v>
      </c>
      <c r="G133" s="5" t="s">
        <v>371</v>
      </c>
      <c r="H133" s="5" t="s">
        <v>371</v>
      </c>
      <c r="I133" s="5" t="s">
        <v>371</v>
      </c>
      <c r="J133" s="5" t="s">
        <v>371</v>
      </c>
      <c r="K133" s="5" t="s">
        <v>371</v>
      </c>
      <c r="L133" s="5" t="s">
        <v>371</v>
      </c>
      <c r="M133" s="5" t="s">
        <v>371</v>
      </c>
      <c r="N133" s="38">
        <v>62.5</v>
      </c>
      <c r="O133" s="38">
        <v>62.5</v>
      </c>
      <c r="P133" s="4">
        <f t="shared" si="47"/>
        <v>1</v>
      </c>
      <c r="Q133" s="11">
        <v>20</v>
      </c>
      <c r="R133" s="11">
        <v>1</v>
      </c>
      <c r="S133" s="11">
        <v>15</v>
      </c>
      <c r="T133" s="38">
        <v>115</v>
      </c>
      <c r="U133" s="38">
        <v>87.4</v>
      </c>
      <c r="V133" s="4">
        <f t="shared" si="48"/>
        <v>0.76</v>
      </c>
      <c r="W133" s="11">
        <v>20</v>
      </c>
      <c r="X133" s="38">
        <v>7</v>
      </c>
      <c r="Y133" s="38">
        <v>2.6</v>
      </c>
      <c r="Z133" s="4">
        <f t="shared" si="49"/>
        <v>0.37142857142857144</v>
      </c>
      <c r="AA133" s="11">
        <v>10</v>
      </c>
      <c r="AB133" s="50">
        <f t="shared" si="54"/>
        <v>0.82945054945054952</v>
      </c>
      <c r="AC133" s="50">
        <f t="shared" si="55"/>
        <v>0.82945054945054952</v>
      </c>
      <c r="AD133" s="51">
        <v>1103</v>
      </c>
      <c r="AE133" s="38">
        <f t="shared" si="50"/>
        <v>100.27272727272727</v>
      </c>
      <c r="AF133" s="38">
        <f t="shared" si="51"/>
        <v>83.2</v>
      </c>
      <c r="AG133" s="38">
        <f t="shared" si="45"/>
        <v>-17.072727272727263</v>
      </c>
      <c r="AH133" s="38">
        <v>-20</v>
      </c>
      <c r="AI133" s="38">
        <f t="shared" si="52"/>
        <v>63.2</v>
      </c>
      <c r="AJ133" s="38"/>
      <c r="AK133" s="38">
        <f t="shared" si="53"/>
        <v>63.2</v>
      </c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10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10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10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10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10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10"/>
      <c r="GJ133" s="9"/>
      <c r="GK133" s="9"/>
    </row>
    <row r="134" spans="1:193" s="2" customFormat="1" ht="16.95" customHeight="1">
      <c r="A134" s="14" t="s">
        <v>134</v>
      </c>
      <c r="B134" s="38">
        <v>0</v>
      </c>
      <c r="C134" s="38">
        <v>0</v>
      </c>
      <c r="D134" s="4">
        <f t="shared" si="46"/>
        <v>0</v>
      </c>
      <c r="E134" s="11">
        <v>0</v>
      </c>
      <c r="F134" s="5" t="s">
        <v>371</v>
      </c>
      <c r="G134" s="5" t="s">
        <v>371</v>
      </c>
      <c r="H134" s="5" t="s">
        <v>371</v>
      </c>
      <c r="I134" s="5" t="s">
        <v>371</v>
      </c>
      <c r="J134" s="5" t="s">
        <v>371</v>
      </c>
      <c r="K134" s="5" t="s">
        <v>371</v>
      </c>
      <c r="L134" s="5" t="s">
        <v>371</v>
      </c>
      <c r="M134" s="5" t="s">
        <v>371</v>
      </c>
      <c r="N134" s="38">
        <v>56.9</v>
      </c>
      <c r="O134" s="38">
        <v>109.3</v>
      </c>
      <c r="P134" s="4">
        <f t="shared" si="47"/>
        <v>1.9209138840070299</v>
      </c>
      <c r="Q134" s="11">
        <v>20</v>
      </c>
      <c r="R134" s="11">
        <v>1</v>
      </c>
      <c r="S134" s="11">
        <v>15</v>
      </c>
      <c r="T134" s="38">
        <v>0</v>
      </c>
      <c r="U134" s="38">
        <v>0</v>
      </c>
      <c r="V134" s="4">
        <f t="shared" si="48"/>
        <v>1</v>
      </c>
      <c r="W134" s="11">
        <v>20</v>
      </c>
      <c r="X134" s="38">
        <v>2</v>
      </c>
      <c r="Y134" s="38">
        <v>2.2999999999999998</v>
      </c>
      <c r="Z134" s="4">
        <f t="shared" si="49"/>
        <v>1.1499999999999999</v>
      </c>
      <c r="AA134" s="11">
        <v>30</v>
      </c>
      <c r="AB134" s="50">
        <f t="shared" si="54"/>
        <v>1.2696267962369481</v>
      </c>
      <c r="AC134" s="50">
        <f t="shared" si="55"/>
        <v>1.2069626796236947</v>
      </c>
      <c r="AD134" s="51">
        <v>533</v>
      </c>
      <c r="AE134" s="38">
        <f t="shared" si="50"/>
        <v>48.454545454545453</v>
      </c>
      <c r="AF134" s="38">
        <f t="shared" si="51"/>
        <v>58.5</v>
      </c>
      <c r="AG134" s="38">
        <f t="shared" si="45"/>
        <v>10.045454545454547</v>
      </c>
      <c r="AH134" s="38">
        <v>-3.2</v>
      </c>
      <c r="AI134" s="38">
        <f t="shared" si="52"/>
        <v>55.3</v>
      </c>
      <c r="AJ134" s="38">
        <f>MIN($AI134,2.6)</f>
        <v>2.6</v>
      </c>
      <c r="AK134" s="38">
        <f t="shared" si="53"/>
        <v>52.7</v>
      </c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10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10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10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10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10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10"/>
      <c r="GJ134" s="9"/>
      <c r="GK134" s="9"/>
    </row>
    <row r="135" spans="1:193" s="2" customFormat="1" ht="16.95" customHeight="1">
      <c r="A135" s="14" t="s">
        <v>135</v>
      </c>
      <c r="B135" s="38">
        <v>0</v>
      </c>
      <c r="C135" s="38">
        <v>0</v>
      </c>
      <c r="D135" s="4">
        <f t="shared" si="46"/>
        <v>0</v>
      </c>
      <c r="E135" s="11">
        <v>0</v>
      </c>
      <c r="F135" s="5" t="s">
        <v>371</v>
      </c>
      <c r="G135" s="5" t="s">
        <v>371</v>
      </c>
      <c r="H135" s="5" t="s">
        <v>371</v>
      </c>
      <c r="I135" s="5" t="s">
        <v>371</v>
      </c>
      <c r="J135" s="5" t="s">
        <v>371</v>
      </c>
      <c r="K135" s="5" t="s">
        <v>371</v>
      </c>
      <c r="L135" s="5" t="s">
        <v>371</v>
      </c>
      <c r="M135" s="5" t="s">
        <v>371</v>
      </c>
      <c r="N135" s="38">
        <v>35.1</v>
      </c>
      <c r="O135" s="38">
        <v>52.1</v>
      </c>
      <c r="P135" s="4">
        <f t="shared" si="47"/>
        <v>1.4843304843304843</v>
      </c>
      <c r="Q135" s="11">
        <v>20</v>
      </c>
      <c r="R135" s="11">
        <v>1</v>
      </c>
      <c r="S135" s="11">
        <v>15</v>
      </c>
      <c r="T135" s="38">
        <v>92</v>
      </c>
      <c r="U135" s="38">
        <v>99.8</v>
      </c>
      <c r="V135" s="4">
        <f t="shared" si="48"/>
        <v>1.0847826086956522</v>
      </c>
      <c r="W135" s="11">
        <v>35</v>
      </c>
      <c r="X135" s="38">
        <v>3</v>
      </c>
      <c r="Y135" s="38">
        <v>1.8</v>
      </c>
      <c r="Z135" s="4">
        <f t="shared" si="49"/>
        <v>0.6</v>
      </c>
      <c r="AA135" s="11">
        <v>15</v>
      </c>
      <c r="AB135" s="50">
        <f t="shared" si="54"/>
        <v>1.0782823645995001</v>
      </c>
      <c r="AC135" s="50">
        <f t="shared" si="55"/>
        <v>1.0782823645995001</v>
      </c>
      <c r="AD135" s="51">
        <v>595</v>
      </c>
      <c r="AE135" s="38">
        <f t="shared" si="50"/>
        <v>54.090909090909093</v>
      </c>
      <c r="AF135" s="38">
        <f t="shared" si="51"/>
        <v>58.3</v>
      </c>
      <c r="AG135" s="38">
        <f t="shared" si="45"/>
        <v>4.2090909090909037</v>
      </c>
      <c r="AH135" s="38">
        <v>-3.3</v>
      </c>
      <c r="AI135" s="38">
        <f t="shared" si="52"/>
        <v>55</v>
      </c>
      <c r="AJ135" s="38">
        <f>MIN($AI135,3.2)</f>
        <v>3.2</v>
      </c>
      <c r="AK135" s="38">
        <f t="shared" si="53"/>
        <v>51.8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10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10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10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10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10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10"/>
      <c r="GJ135" s="9"/>
      <c r="GK135" s="9"/>
    </row>
    <row r="136" spans="1:193" s="2" customFormat="1" ht="16.95" customHeight="1">
      <c r="A136" s="14" t="s">
        <v>136</v>
      </c>
      <c r="B136" s="38">
        <v>500</v>
      </c>
      <c r="C136" s="38">
        <v>484</v>
      </c>
      <c r="D136" s="4">
        <f t="shared" si="46"/>
        <v>0.96799999999999997</v>
      </c>
      <c r="E136" s="11">
        <v>10</v>
      </c>
      <c r="F136" s="5" t="s">
        <v>371</v>
      </c>
      <c r="G136" s="5" t="s">
        <v>371</v>
      </c>
      <c r="H136" s="5" t="s">
        <v>371</v>
      </c>
      <c r="I136" s="5" t="s">
        <v>371</v>
      </c>
      <c r="J136" s="5" t="s">
        <v>371</v>
      </c>
      <c r="K136" s="5" t="s">
        <v>371</v>
      </c>
      <c r="L136" s="5" t="s">
        <v>371</v>
      </c>
      <c r="M136" s="5" t="s">
        <v>371</v>
      </c>
      <c r="N136" s="38">
        <v>134.9</v>
      </c>
      <c r="O136" s="38">
        <v>140.19999999999999</v>
      </c>
      <c r="P136" s="4">
        <f t="shared" si="47"/>
        <v>1.0392883617494439</v>
      </c>
      <c r="Q136" s="11">
        <v>20</v>
      </c>
      <c r="R136" s="11">
        <v>1</v>
      </c>
      <c r="S136" s="11">
        <v>15</v>
      </c>
      <c r="T136" s="38">
        <v>232</v>
      </c>
      <c r="U136" s="38">
        <v>268.39999999999998</v>
      </c>
      <c r="V136" s="4">
        <f t="shared" si="48"/>
        <v>1.1568965517241379</v>
      </c>
      <c r="W136" s="11">
        <v>35</v>
      </c>
      <c r="X136" s="38">
        <v>9</v>
      </c>
      <c r="Y136" s="38">
        <v>6.2</v>
      </c>
      <c r="Z136" s="4">
        <f t="shared" si="49"/>
        <v>0.68888888888888888</v>
      </c>
      <c r="AA136" s="11">
        <v>15</v>
      </c>
      <c r="AB136" s="50">
        <f t="shared" si="54"/>
        <v>1.0135839987228108</v>
      </c>
      <c r="AC136" s="50">
        <f t="shared" si="55"/>
        <v>1.0135839987228108</v>
      </c>
      <c r="AD136" s="51">
        <v>646</v>
      </c>
      <c r="AE136" s="38">
        <f t="shared" si="50"/>
        <v>58.727272727272727</v>
      </c>
      <c r="AF136" s="38">
        <f t="shared" si="51"/>
        <v>59.5</v>
      </c>
      <c r="AG136" s="38">
        <f t="shared" si="45"/>
        <v>0.77272727272727337</v>
      </c>
      <c r="AH136" s="38">
        <v>-2.2000000000000002</v>
      </c>
      <c r="AI136" s="38">
        <f t="shared" si="52"/>
        <v>57.3</v>
      </c>
      <c r="AJ136" s="38"/>
      <c r="AK136" s="38">
        <f t="shared" si="53"/>
        <v>57.3</v>
      </c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10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10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10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10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10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10"/>
      <c r="GJ136" s="9"/>
      <c r="GK136" s="9"/>
    </row>
    <row r="137" spans="1:193" s="2" customFormat="1" ht="16.95" customHeight="1">
      <c r="A137" s="14" t="s">
        <v>137</v>
      </c>
      <c r="B137" s="38">
        <v>0</v>
      </c>
      <c r="C137" s="38">
        <v>0</v>
      </c>
      <c r="D137" s="4">
        <f t="shared" si="46"/>
        <v>0</v>
      </c>
      <c r="E137" s="11">
        <v>0</v>
      </c>
      <c r="F137" s="5" t="s">
        <v>371</v>
      </c>
      <c r="G137" s="5" t="s">
        <v>371</v>
      </c>
      <c r="H137" s="5" t="s">
        <v>371</v>
      </c>
      <c r="I137" s="5" t="s">
        <v>371</v>
      </c>
      <c r="J137" s="5" t="s">
        <v>371</v>
      </c>
      <c r="K137" s="5" t="s">
        <v>371</v>
      </c>
      <c r="L137" s="5" t="s">
        <v>371</v>
      </c>
      <c r="M137" s="5" t="s">
        <v>371</v>
      </c>
      <c r="N137" s="38">
        <v>562.20000000000005</v>
      </c>
      <c r="O137" s="38">
        <v>622.5</v>
      </c>
      <c r="P137" s="4">
        <f t="shared" si="47"/>
        <v>1.107257203842049</v>
      </c>
      <c r="Q137" s="11">
        <v>20</v>
      </c>
      <c r="R137" s="11">
        <v>1</v>
      </c>
      <c r="S137" s="11">
        <v>15</v>
      </c>
      <c r="T137" s="38">
        <v>415</v>
      </c>
      <c r="U137" s="38">
        <v>467.4</v>
      </c>
      <c r="V137" s="4">
        <f t="shared" si="48"/>
        <v>1.1262650602409638</v>
      </c>
      <c r="W137" s="11">
        <v>35</v>
      </c>
      <c r="X137" s="38">
        <v>12</v>
      </c>
      <c r="Y137" s="38">
        <v>21.2</v>
      </c>
      <c r="Z137" s="4">
        <f t="shared" si="49"/>
        <v>1.7666666666666666</v>
      </c>
      <c r="AA137" s="11">
        <v>15</v>
      </c>
      <c r="AB137" s="50">
        <f t="shared" si="54"/>
        <v>1.2125226021797024</v>
      </c>
      <c r="AC137" s="50">
        <f t="shared" si="55"/>
        <v>1.2012522602179703</v>
      </c>
      <c r="AD137" s="51">
        <v>1451</v>
      </c>
      <c r="AE137" s="38">
        <f t="shared" si="50"/>
        <v>131.90909090909091</v>
      </c>
      <c r="AF137" s="38">
        <f t="shared" si="51"/>
        <v>158.5</v>
      </c>
      <c r="AG137" s="38">
        <f t="shared" si="45"/>
        <v>26.590909090909093</v>
      </c>
      <c r="AH137" s="38">
        <v>-20.100000000000001</v>
      </c>
      <c r="AI137" s="38">
        <f t="shared" si="52"/>
        <v>138.4</v>
      </c>
      <c r="AJ137" s="38"/>
      <c r="AK137" s="38">
        <f t="shared" si="53"/>
        <v>138.4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10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10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10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10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10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10"/>
      <c r="GJ137" s="9"/>
      <c r="GK137" s="9"/>
    </row>
    <row r="138" spans="1:193" s="2" customFormat="1" ht="16.95" customHeight="1">
      <c r="A138" s="14" t="s">
        <v>138</v>
      </c>
      <c r="B138" s="38">
        <v>0</v>
      </c>
      <c r="C138" s="38">
        <v>0</v>
      </c>
      <c r="D138" s="4">
        <f t="shared" si="46"/>
        <v>0</v>
      </c>
      <c r="E138" s="11">
        <v>0</v>
      </c>
      <c r="F138" s="5" t="s">
        <v>371</v>
      </c>
      <c r="G138" s="5" t="s">
        <v>371</v>
      </c>
      <c r="H138" s="5" t="s">
        <v>371</v>
      </c>
      <c r="I138" s="5" t="s">
        <v>371</v>
      </c>
      <c r="J138" s="5" t="s">
        <v>371</v>
      </c>
      <c r="K138" s="5" t="s">
        <v>371</v>
      </c>
      <c r="L138" s="5" t="s">
        <v>371</v>
      </c>
      <c r="M138" s="5" t="s">
        <v>371</v>
      </c>
      <c r="N138" s="38">
        <v>384.5</v>
      </c>
      <c r="O138" s="38">
        <v>260.3</v>
      </c>
      <c r="P138" s="4">
        <f t="shared" si="47"/>
        <v>0.67698309492847852</v>
      </c>
      <c r="Q138" s="11">
        <v>20</v>
      </c>
      <c r="R138" s="11">
        <v>1</v>
      </c>
      <c r="S138" s="11">
        <v>15</v>
      </c>
      <c r="T138" s="38">
        <v>14</v>
      </c>
      <c r="U138" s="38">
        <v>14</v>
      </c>
      <c r="V138" s="4">
        <f t="shared" si="48"/>
        <v>1</v>
      </c>
      <c r="W138" s="11">
        <v>25</v>
      </c>
      <c r="X138" s="38">
        <v>3</v>
      </c>
      <c r="Y138" s="38">
        <v>0.2</v>
      </c>
      <c r="Z138" s="4">
        <f t="shared" si="49"/>
        <v>6.6666666666666666E-2</v>
      </c>
      <c r="AA138" s="11">
        <v>25</v>
      </c>
      <c r="AB138" s="50">
        <f t="shared" si="54"/>
        <v>0.6494862184145439</v>
      </c>
      <c r="AC138" s="50">
        <f t="shared" si="55"/>
        <v>0.6494862184145439</v>
      </c>
      <c r="AD138" s="51">
        <v>876</v>
      </c>
      <c r="AE138" s="38">
        <f t="shared" si="50"/>
        <v>79.63636363636364</v>
      </c>
      <c r="AF138" s="38">
        <f t="shared" si="51"/>
        <v>51.7</v>
      </c>
      <c r="AG138" s="38">
        <f t="shared" si="45"/>
        <v>-27.936363636363637</v>
      </c>
      <c r="AH138" s="38">
        <v>-4.9000000000000004</v>
      </c>
      <c r="AI138" s="38">
        <f t="shared" si="52"/>
        <v>46.800000000000004</v>
      </c>
      <c r="AJ138" s="38"/>
      <c r="AK138" s="38">
        <f t="shared" si="53"/>
        <v>46.8</v>
      </c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10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10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10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10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10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10"/>
      <c r="GJ138" s="9"/>
      <c r="GK138" s="9"/>
    </row>
    <row r="139" spans="1:193" s="2" customFormat="1" ht="16.95" customHeight="1">
      <c r="A139" s="19" t="s">
        <v>139</v>
      </c>
      <c r="B139" s="7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10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10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10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10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10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10"/>
      <c r="GJ139" s="9"/>
      <c r="GK139" s="9"/>
    </row>
    <row r="140" spans="1:193" s="2" customFormat="1" ht="16.95" customHeight="1">
      <c r="A140" s="14" t="s">
        <v>140</v>
      </c>
      <c r="B140" s="38">
        <v>0</v>
      </c>
      <c r="C140" s="38">
        <v>0</v>
      </c>
      <c r="D140" s="4">
        <f t="shared" si="46"/>
        <v>0</v>
      </c>
      <c r="E140" s="11">
        <v>0</v>
      </c>
      <c r="F140" s="5" t="s">
        <v>371</v>
      </c>
      <c r="G140" s="5" t="s">
        <v>371</v>
      </c>
      <c r="H140" s="5" t="s">
        <v>371</v>
      </c>
      <c r="I140" s="5" t="s">
        <v>371</v>
      </c>
      <c r="J140" s="5" t="s">
        <v>371</v>
      </c>
      <c r="K140" s="5" t="s">
        <v>371</v>
      </c>
      <c r="L140" s="5" t="s">
        <v>371</v>
      </c>
      <c r="M140" s="5" t="s">
        <v>371</v>
      </c>
      <c r="N140" s="38">
        <v>621.70000000000005</v>
      </c>
      <c r="O140" s="38">
        <v>571</v>
      </c>
      <c r="P140" s="4">
        <f t="shared" si="47"/>
        <v>0.91844941290011251</v>
      </c>
      <c r="Q140" s="11">
        <v>20</v>
      </c>
      <c r="R140" s="11">
        <v>1</v>
      </c>
      <c r="S140" s="11">
        <v>15</v>
      </c>
      <c r="T140" s="38">
        <v>0</v>
      </c>
      <c r="U140" s="38">
        <v>0</v>
      </c>
      <c r="V140" s="4">
        <f t="shared" si="48"/>
        <v>1</v>
      </c>
      <c r="W140" s="11">
        <v>30</v>
      </c>
      <c r="X140" s="38">
        <v>0.5</v>
      </c>
      <c r="Y140" s="38">
        <v>0.6</v>
      </c>
      <c r="Z140" s="4">
        <f t="shared" si="49"/>
        <v>1.2</v>
      </c>
      <c r="AA140" s="11">
        <v>20</v>
      </c>
      <c r="AB140" s="50">
        <f t="shared" si="54"/>
        <v>1.027870450094144</v>
      </c>
      <c r="AC140" s="50">
        <f t="shared" si="55"/>
        <v>1.027870450094144</v>
      </c>
      <c r="AD140" s="51">
        <v>1932</v>
      </c>
      <c r="AE140" s="38">
        <f t="shared" si="50"/>
        <v>175.63636363636363</v>
      </c>
      <c r="AF140" s="38">
        <f t="shared" si="51"/>
        <v>180.5</v>
      </c>
      <c r="AG140" s="38">
        <f t="shared" si="45"/>
        <v>4.863636363636374</v>
      </c>
      <c r="AH140" s="38">
        <v>6</v>
      </c>
      <c r="AI140" s="38">
        <f t="shared" si="52"/>
        <v>186.5</v>
      </c>
      <c r="AJ140" s="38"/>
      <c r="AK140" s="38">
        <f t="shared" si="53"/>
        <v>186.5</v>
      </c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10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10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10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10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10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10"/>
      <c r="GJ140" s="9"/>
      <c r="GK140" s="9"/>
    </row>
    <row r="141" spans="1:193" s="2" customFormat="1" ht="16.95" customHeight="1">
      <c r="A141" s="14" t="s">
        <v>141</v>
      </c>
      <c r="B141" s="38">
        <v>0</v>
      </c>
      <c r="C141" s="38">
        <v>0</v>
      </c>
      <c r="D141" s="4">
        <f t="shared" si="46"/>
        <v>0</v>
      </c>
      <c r="E141" s="11">
        <v>0</v>
      </c>
      <c r="F141" s="5" t="s">
        <v>371</v>
      </c>
      <c r="G141" s="5" t="s">
        <v>371</v>
      </c>
      <c r="H141" s="5" t="s">
        <v>371</v>
      </c>
      <c r="I141" s="5" t="s">
        <v>371</v>
      </c>
      <c r="J141" s="5" t="s">
        <v>371</v>
      </c>
      <c r="K141" s="5" t="s">
        <v>371</v>
      </c>
      <c r="L141" s="5" t="s">
        <v>371</v>
      </c>
      <c r="M141" s="5" t="s">
        <v>371</v>
      </c>
      <c r="N141" s="38">
        <v>116</v>
      </c>
      <c r="O141" s="38">
        <v>23.9</v>
      </c>
      <c r="P141" s="4">
        <f t="shared" si="47"/>
        <v>0.20603448275862069</v>
      </c>
      <c r="Q141" s="11">
        <v>20</v>
      </c>
      <c r="R141" s="11">
        <v>1</v>
      </c>
      <c r="S141" s="11">
        <v>15</v>
      </c>
      <c r="T141" s="38">
        <v>24</v>
      </c>
      <c r="U141" s="38">
        <v>28.2</v>
      </c>
      <c r="V141" s="4">
        <f t="shared" si="48"/>
        <v>1.175</v>
      </c>
      <c r="W141" s="11">
        <v>35</v>
      </c>
      <c r="X141" s="38">
        <v>1.4</v>
      </c>
      <c r="Y141" s="38">
        <v>2</v>
      </c>
      <c r="Z141" s="4">
        <f t="shared" si="49"/>
        <v>1.4285714285714286</v>
      </c>
      <c r="AA141" s="11">
        <v>15</v>
      </c>
      <c r="AB141" s="50">
        <f t="shared" si="54"/>
        <v>0.96087365980875106</v>
      </c>
      <c r="AC141" s="50">
        <f t="shared" si="55"/>
        <v>0.96087365980875106</v>
      </c>
      <c r="AD141" s="51">
        <v>2244</v>
      </c>
      <c r="AE141" s="38">
        <f t="shared" si="50"/>
        <v>204</v>
      </c>
      <c r="AF141" s="38">
        <f t="shared" si="51"/>
        <v>196</v>
      </c>
      <c r="AG141" s="38">
        <f t="shared" si="45"/>
        <v>-8</v>
      </c>
      <c r="AH141" s="38">
        <v>12.1</v>
      </c>
      <c r="AI141" s="38">
        <f t="shared" si="52"/>
        <v>208.1</v>
      </c>
      <c r="AJ141" s="38"/>
      <c r="AK141" s="38">
        <f t="shared" si="53"/>
        <v>208.1</v>
      </c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10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10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10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10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10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10"/>
      <c r="GJ141" s="9"/>
      <c r="GK141" s="9"/>
    </row>
    <row r="142" spans="1:193" s="2" customFormat="1" ht="16.95" customHeight="1">
      <c r="A142" s="14" t="s">
        <v>142</v>
      </c>
      <c r="B142" s="38">
        <v>0</v>
      </c>
      <c r="C142" s="38">
        <v>0</v>
      </c>
      <c r="D142" s="4">
        <f t="shared" si="46"/>
        <v>0</v>
      </c>
      <c r="E142" s="11">
        <v>0</v>
      </c>
      <c r="F142" s="5" t="s">
        <v>371</v>
      </c>
      <c r="G142" s="5" t="s">
        <v>371</v>
      </c>
      <c r="H142" s="5" t="s">
        <v>371</v>
      </c>
      <c r="I142" s="5" t="s">
        <v>371</v>
      </c>
      <c r="J142" s="5" t="s">
        <v>371</v>
      </c>
      <c r="K142" s="5" t="s">
        <v>371</v>
      </c>
      <c r="L142" s="5" t="s">
        <v>371</v>
      </c>
      <c r="M142" s="5" t="s">
        <v>371</v>
      </c>
      <c r="N142" s="38">
        <v>137.69999999999999</v>
      </c>
      <c r="O142" s="38">
        <v>573.5</v>
      </c>
      <c r="P142" s="4">
        <f t="shared" si="47"/>
        <v>4.1648511256354395</v>
      </c>
      <c r="Q142" s="11">
        <v>20</v>
      </c>
      <c r="R142" s="11">
        <v>1</v>
      </c>
      <c r="S142" s="11">
        <v>15</v>
      </c>
      <c r="T142" s="38">
        <v>60</v>
      </c>
      <c r="U142" s="38">
        <v>67</v>
      </c>
      <c r="V142" s="4">
        <f t="shared" si="48"/>
        <v>1.1166666666666667</v>
      </c>
      <c r="W142" s="11">
        <v>30</v>
      </c>
      <c r="X142" s="38">
        <v>1.5</v>
      </c>
      <c r="Y142" s="38">
        <v>2.5</v>
      </c>
      <c r="Z142" s="4">
        <f t="shared" si="49"/>
        <v>1.6666666666666667</v>
      </c>
      <c r="AA142" s="11">
        <v>20</v>
      </c>
      <c r="AB142" s="50">
        <f t="shared" si="54"/>
        <v>1.9427100687769663</v>
      </c>
      <c r="AC142" s="50">
        <f t="shared" si="55"/>
        <v>1.2742710068776966</v>
      </c>
      <c r="AD142" s="51">
        <v>4282</v>
      </c>
      <c r="AE142" s="38">
        <f t="shared" si="50"/>
        <v>389.27272727272725</v>
      </c>
      <c r="AF142" s="38">
        <f t="shared" si="51"/>
        <v>496</v>
      </c>
      <c r="AG142" s="38">
        <f t="shared" si="45"/>
        <v>106.72727272727275</v>
      </c>
      <c r="AH142" s="38">
        <v>-15.7</v>
      </c>
      <c r="AI142" s="38">
        <f t="shared" si="52"/>
        <v>480.3</v>
      </c>
      <c r="AJ142" s="38"/>
      <c r="AK142" s="38">
        <f t="shared" si="53"/>
        <v>480.3</v>
      </c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10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10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10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10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10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10"/>
      <c r="GJ142" s="9"/>
      <c r="GK142" s="9"/>
    </row>
    <row r="143" spans="1:193" s="2" customFormat="1" ht="16.95" customHeight="1">
      <c r="A143" s="14" t="s">
        <v>143</v>
      </c>
      <c r="B143" s="38">
        <v>1237</v>
      </c>
      <c r="C143" s="38">
        <v>1081</v>
      </c>
      <c r="D143" s="4">
        <f t="shared" si="46"/>
        <v>0.87388843977364594</v>
      </c>
      <c r="E143" s="11">
        <v>10</v>
      </c>
      <c r="F143" s="5" t="s">
        <v>371</v>
      </c>
      <c r="G143" s="5" t="s">
        <v>371</v>
      </c>
      <c r="H143" s="5" t="s">
        <v>371</v>
      </c>
      <c r="I143" s="5" t="s">
        <v>371</v>
      </c>
      <c r="J143" s="5" t="s">
        <v>371</v>
      </c>
      <c r="K143" s="5" t="s">
        <v>371</v>
      </c>
      <c r="L143" s="5" t="s">
        <v>371</v>
      </c>
      <c r="M143" s="5" t="s">
        <v>371</v>
      </c>
      <c r="N143" s="38">
        <v>844.2</v>
      </c>
      <c r="O143" s="38">
        <v>1093.3</v>
      </c>
      <c r="P143" s="4">
        <f t="shared" si="47"/>
        <v>1.2950722577588247</v>
      </c>
      <c r="Q143" s="11">
        <v>20</v>
      </c>
      <c r="R143" s="11">
        <v>1</v>
      </c>
      <c r="S143" s="11">
        <v>15</v>
      </c>
      <c r="T143" s="38">
        <v>0</v>
      </c>
      <c r="U143" s="38">
        <v>0</v>
      </c>
      <c r="V143" s="4">
        <f t="shared" si="48"/>
        <v>1</v>
      </c>
      <c r="W143" s="11">
        <v>20</v>
      </c>
      <c r="X143" s="38">
        <v>0.6</v>
      </c>
      <c r="Y143" s="38">
        <v>0.7</v>
      </c>
      <c r="Z143" s="4">
        <f t="shared" si="49"/>
        <v>1.1666666666666667</v>
      </c>
      <c r="AA143" s="11">
        <v>30</v>
      </c>
      <c r="AB143" s="50">
        <f t="shared" si="54"/>
        <v>1.1014771531885574</v>
      </c>
      <c r="AC143" s="50">
        <f t="shared" si="55"/>
        <v>1.1014771531885574</v>
      </c>
      <c r="AD143" s="51">
        <v>4287</v>
      </c>
      <c r="AE143" s="38">
        <f t="shared" si="50"/>
        <v>389.72727272727275</v>
      </c>
      <c r="AF143" s="38">
        <f t="shared" si="51"/>
        <v>429.3</v>
      </c>
      <c r="AG143" s="38">
        <f t="shared" si="45"/>
        <v>39.572727272727263</v>
      </c>
      <c r="AH143" s="38">
        <v>-5</v>
      </c>
      <c r="AI143" s="38">
        <f t="shared" si="52"/>
        <v>424.3</v>
      </c>
      <c r="AJ143" s="38"/>
      <c r="AK143" s="38">
        <f t="shared" si="53"/>
        <v>424.3</v>
      </c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10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10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10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10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10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10"/>
      <c r="GJ143" s="9"/>
      <c r="GK143" s="9"/>
    </row>
    <row r="144" spans="1:193" s="2" customFormat="1" ht="16.95" customHeight="1">
      <c r="A144" s="14" t="s">
        <v>144</v>
      </c>
      <c r="B144" s="38">
        <v>89</v>
      </c>
      <c r="C144" s="38">
        <v>90</v>
      </c>
      <c r="D144" s="4">
        <f t="shared" si="46"/>
        <v>1.0112359550561798</v>
      </c>
      <c r="E144" s="11">
        <v>10</v>
      </c>
      <c r="F144" s="5" t="s">
        <v>371</v>
      </c>
      <c r="G144" s="5" t="s">
        <v>371</v>
      </c>
      <c r="H144" s="5" t="s">
        <v>371</v>
      </c>
      <c r="I144" s="5" t="s">
        <v>371</v>
      </c>
      <c r="J144" s="5" t="s">
        <v>371</v>
      </c>
      <c r="K144" s="5" t="s">
        <v>371</v>
      </c>
      <c r="L144" s="5" t="s">
        <v>371</v>
      </c>
      <c r="M144" s="5" t="s">
        <v>371</v>
      </c>
      <c r="N144" s="38">
        <v>922.2</v>
      </c>
      <c r="O144" s="38">
        <v>901.8</v>
      </c>
      <c r="P144" s="4">
        <f t="shared" si="47"/>
        <v>0.97787898503578385</v>
      </c>
      <c r="Q144" s="11">
        <v>20</v>
      </c>
      <c r="R144" s="11">
        <v>1</v>
      </c>
      <c r="S144" s="11">
        <v>15</v>
      </c>
      <c r="T144" s="38">
        <v>13</v>
      </c>
      <c r="U144" s="38">
        <v>13</v>
      </c>
      <c r="V144" s="4">
        <f t="shared" si="48"/>
        <v>1</v>
      </c>
      <c r="W144" s="11">
        <v>30</v>
      </c>
      <c r="X144" s="38">
        <v>0</v>
      </c>
      <c r="Y144" s="38">
        <v>0</v>
      </c>
      <c r="Z144" s="4">
        <f t="shared" si="49"/>
        <v>1</v>
      </c>
      <c r="AA144" s="11">
        <v>20</v>
      </c>
      <c r="AB144" s="50">
        <f t="shared" si="54"/>
        <v>0.9965256763292365</v>
      </c>
      <c r="AC144" s="50">
        <f t="shared" si="55"/>
        <v>0.9965256763292365</v>
      </c>
      <c r="AD144" s="51">
        <v>1948</v>
      </c>
      <c r="AE144" s="38">
        <f t="shared" si="50"/>
        <v>177.09090909090909</v>
      </c>
      <c r="AF144" s="38">
        <f t="shared" si="51"/>
        <v>176.5</v>
      </c>
      <c r="AG144" s="38">
        <f t="shared" si="45"/>
        <v>-0.59090909090909349</v>
      </c>
      <c r="AH144" s="38">
        <v>4.8</v>
      </c>
      <c r="AI144" s="38">
        <f t="shared" si="52"/>
        <v>181.3</v>
      </c>
      <c r="AJ144" s="38"/>
      <c r="AK144" s="38">
        <f t="shared" si="53"/>
        <v>181.3</v>
      </c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10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10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10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10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10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10"/>
      <c r="GJ144" s="9"/>
      <c r="GK144" s="9"/>
    </row>
    <row r="145" spans="1:193" s="2" customFormat="1" ht="16.95" customHeight="1">
      <c r="A145" s="14" t="s">
        <v>145</v>
      </c>
      <c r="B145" s="38">
        <v>0</v>
      </c>
      <c r="C145" s="38">
        <v>0</v>
      </c>
      <c r="D145" s="4">
        <f t="shared" si="46"/>
        <v>0</v>
      </c>
      <c r="E145" s="11">
        <v>0</v>
      </c>
      <c r="F145" s="5" t="s">
        <v>371</v>
      </c>
      <c r="G145" s="5" t="s">
        <v>371</v>
      </c>
      <c r="H145" s="5" t="s">
        <v>371</v>
      </c>
      <c r="I145" s="5" t="s">
        <v>371</v>
      </c>
      <c r="J145" s="5" t="s">
        <v>371</v>
      </c>
      <c r="K145" s="5" t="s">
        <v>371</v>
      </c>
      <c r="L145" s="5" t="s">
        <v>371</v>
      </c>
      <c r="M145" s="5" t="s">
        <v>371</v>
      </c>
      <c r="N145" s="38">
        <v>59.8</v>
      </c>
      <c r="O145" s="38">
        <v>43.2</v>
      </c>
      <c r="P145" s="4">
        <f t="shared" si="47"/>
        <v>0.72240802675585292</v>
      </c>
      <c r="Q145" s="11">
        <v>20</v>
      </c>
      <c r="R145" s="11">
        <v>1</v>
      </c>
      <c r="S145" s="11">
        <v>15</v>
      </c>
      <c r="T145" s="38">
        <v>0</v>
      </c>
      <c r="U145" s="38">
        <v>0</v>
      </c>
      <c r="V145" s="4">
        <f t="shared" si="48"/>
        <v>1</v>
      </c>
      <c r="W145" s="11">
        <v>35</v>
      </c>
      <c r="X145" s="38">
        <v>0.4</v>
      </c>
      <c r="Y145" s="38">
        <v>0.8</v>
      </c>
      <c r="Z145" s="4">
        <f t="shared" si="49"/>
        <v>2</v>
      </c>
      <c r="AA145" s="11">
        <v>15</v>
      </c>
      <c r="AB145" s="50">
        <f t="shared" si="54"/>
        <v>1.1111548298249065</v>
      </c>
      <c r="AC145" s="50">
        <f t="shared" si="55"/>
        <v>1.1111548298249065</v>
      </c>
      <c r="AD145" s="51">
        <v>3245</v>
      </c>
      <c r="AE145" s="38">
        <f t="shared" si="50"/>
        <v>295</v>
      </c>
      <c r="AF145" s="38">
        <f t="shared" si="51"/>
        <v>327.8</v>
      </c>
      <c r="AG145" s="38">
        <f t="shared" si="45"/>
        <v>32.800000000000011</v>
      </c>
      <c r="AH145" s="38">
        <v>-2.1</v>
      </c>
      <c r="AI145" s="38">
        <f t="shared" si="52"/>
        <v>325.7</v>
      </c>
      <c r="AJ145" s="38"/>
      <c r="AK145" s="38">
        <f t="shared" si="53"/>
        <v>325.7</v>
      </c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10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10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10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10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10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10"/>
      <c r="GJ145" s="9"/>
      <c r="GK145" s="9"/>
    </row>
    <row r="146" spans="1:193" s="2" customFormat="1" ht="16.95" customHeight="1">
      <c r="A146" s="19" t="s">
        <v>146</v>
      </c>
      <c r="B146" s="7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10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10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10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10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10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10"/>
      <c r="GJ146" s="9"/>
      <c r="GK146" s="9"/>
    </row>
    <row r="147" spans="1:193" s="2" customFormat="1" ht="16.95" customHeight="1">
      <c r="A147" s="14" t="s">
        <v>147</v>
      </c>
      <c r="B147" s="38">
        <v>467</v>
      </c>
      <c r="C147" s="38">
        <v>475.1</v>
      </c>
      <c r="D147" s="4">
        <f t="shared" si="46"/>
        <v>1.0173447537473235</v>
      </c>
      <c r="E147" s="11">
        <v>10</v>
      </c>
      <c r="F147" s="5" t="s">
        <v>371</v>
      </c>
      <c r="G147" s="5" t="s">
        <v>371</v>
      </c>
      <c r="H147" s="5" t="s">
        <v>371</v>
      </c>
      <c r="I147" s="5" t="s">
        <v>371</v>
      </c>
      <c r="J147" s="5" t="s">
        <v>371</v>
      </c>
      <c r="K147" s="5" t="s">
        <v>371</v>
      </c>
      <c r="L147" s="5" t="s">
        <v>371</v>
      </c>
      <c r="M147" s="5" t="s">
        <v>371</v>
      </c>
      <c r="N147" s="38">
        <v>430.4</v>
      </c>
      <c r="O147" s="38">
        <v>132.69999999999999</v>
      </c>
      <c r="P147" s="4">
        <f t="shared" si="47"/>
        <v>0.308317843866171</v>
      </c>
      <c r="Q147" s="11">
        <v>20</v>
      </c>
      <c r="R147" s="11">
        <v>1</v>
      </c>
      <c r="S147" s="11">
        <v>15</v>
      </c>
      <c r="T147" s="38">
        <v>2</v>
      </c>
      <c r="U147" s="38">
        <v>17.8</v>
      </c>
      <c r="V147" s="4">
        <f t="shared" si="48"/>
        <v>8.9</v>
      </c>
      <c r="W147" s="11">
        <v>20</v>
      </c>
      <c r="X147" s="38">
        <v>0.5</v>
      </c>
      <c r="Y147" s="38">
        <v>0.6</v>
      </c>
      <c r="Z147" s="4">
        <f t="shared" si="49"/>
        <v>1.2</v>
      </c>
      <c r="AA147" s="11">
        <v>30</v>
      </c>
      <c r="AB147" s="50">
        <f t="shared" si="54"/>
        <v>2.5825242569978593</v>
      </c>
      <c r="AC147" s="50">
        <f t="shared" si="55"/>
        <v>1.3</v>
      </c>
      <c r="AD147" s="51">
        <v>2109</v>
      </c>
      <c r="AE147" s="38">
        <f t="shared" si="50"/>
        <v>191.72727272727272</v>
      </c>
      <c r="AF147" s="38">
        <f t="shared" si="51"/>
        <v>249.2</v>
      </c>
      <c r="AG147" s="38">
        <f t="shared" si="45"/>
        <v>57.472727272727269</v>
      </c>
      <c r="AH147" s="38">
        <v>-5.5</v>
      </c>
      <c r="AI147" s="38">
        <f t="shared" si="52"/>
        <v>243.7</v>
      </c>
      <c r="AJ147" s="38"/>
      <c r="AK147" s="38">
        <f t="shared" si="53"/>
        <v>243.7</v>
      </c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10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10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10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10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10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10"/>
      <c r="GJ147" s="9"/>
      <c r="GK147" s="9"/>
    </row>
    <row r="148" spans="1:193" s="2" customFormat="1" ht="16.95" customHeight="1">
      <c r="A148" s="14" t="s">
        <v>148</v>
      </c>
      <c r="B148" s="38">
        <v>168</v>
      </c>
      <c r="C148" s="38">
        <v>172</v>
      </c>
      <c r="D148" s="4">
        <f t="shared" si="46"/>
        <v>1.0238095238095237</v>
      </c>
      <c r="E148" s="11">
        <v>10</v>
      </c>
      <c r="F148" s="5" t="s">
        <v>371</v>
      </c>
      <c r="G148" s="5" t="s">
        <v>371</v>
      </c>
      <c r="H148" s="5" t="s">
        <v>371</v>
      </c>
      <c r="I148" s="5" t="s">
        <v>371</v>
      </c>
      <c r="J148" s="5" t="s">
        <v>371</v>
      </c>
      <c r="K148" s="5" t="s">
        <v>371</v>
      </c>
      <c r="L148" s="5" t="s">
        <v>371</v>
      </c>
      <c r="M148" s="5" t="s">
        <v>371</v>
      </c>
      <c r="N148" s="38">
        <v>1570.7</v>
      </c>
      <c r="O148" s="38">
        <v>411.4</v>
      </c>
      <c r="P148" s="4">
        <f t="shared" si="47"/>
        <v>0.26192143630228559</v>
      </c>
      <c r="Q148" s="11">
        <v>20</v>
      </c>
      <c r="R148" s="11">
        <v>1</v>
      </c>
      <c r="S148" s="11">
        <v>15</v>
      </c>
      <c r="T148" s="38">
        <v>0.4</v>
      </c>
      <c r="U148" s="38">
        <v>0.4</v>
      </c>
      <c r="V148" s="4">
        <f t="shared" si="48"/>
        <v>1</v>
      </c>
      <c r="W148" s="11">
        <v>15</v>
      </c>
      <c r="X148" s="38">
        <v>0.2</v>
      </c>
      <c r="Y148" s="38">
        <v>0.2</v>
      </c>
      <c r="Z148" s="4">
        <f t="shared" si="49"/>
        <v>1</v>
      </c>
      <c r="AA148" s="11">
        <v>35</v>
      </c>
      <c r="AB148" s="50">
        <f t="shared" si="54"/>
        <v>0.84712130488569426</v>
      </c>
      <c r="AC148" s="50">
        <f t="shared" si="55"/>
        <v>0.84712130488569426</v>
      </c>
      <c r="AD148" s="51">
        <v>926</v>
      </c>
      <c r="AE148" s="38">
        <f t="shared" si="50"/>
        <v>84.181818181818187</v>
      </c>
      <c r="AF148" s="38">
        <f t="shared" si="51"/>
        <v>71.3</v>
      </c>
      <c r="AG148" s="38">
        <f t="shared" si="45"/>
        <v>-12.88181818181819</v>
      </c>
      <c r="AH148" s="38">
        <v>0</v>
      </c>
      <c r="AI148" s="38">
        <f t="shared" si="52"/>
        <v>71.3</v>
      </c>
      <c r="AJ148" s="38"/>
      <c r="AK148" s="38">
        <f t="shared" si="53"/>
        <v>71.3</v>
      </c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10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10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10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10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10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10"/>
      <c r="GJ148" s="9"/>
      <c r="GK148" s="9"/>
    </row>
    <row r="149" spans="1:193" s="2" customFormat="1" ht="16.95" customHeight="1">
      <c r="A149" s="14" t="s">
        <v>149</v>
      </c>
      <c r="B149" s="38">
        <v>760</v>
      </c>
      <c r="C149" s="38">
        <v>1390.1</v>
      </c>
      <c r="D149" s="4">
        <f t="shared" si="46"/>
        <v>1.829078947368421</v>
      </c>
      <c r="E149" s="11">
        <v>10</v>
      </c>
      <c r="F149" s="5" t="s">
        <v>371</v>
      </c>
      <c r="G149" s="5" t="s">
        <v>371</v>
      </c>
      <c r="H149" s="5" t="s">
        <v>371</v>
      </c>
      <c r="I149" s="5" t="s">
        <v>371</v>
      </c>
      <c r="J149" s="5" t="s">
        <v>371</v>
      </c>
      <c r="K149" s="5" t="s">
        <v>371</v>
      </c>
      <c r="L149" s="5" t="s">
        <v>371</v>
      </c>
      <c r="M149" s="5" t="s">
        <v>371</v>
      </c>
      <c r="N149" s="38">
        <v>16611.5</v>
      </c>
      <c r="O149" s="38">
        <v>78002.8</v>
      </c>
      <c r="P149" s="4">
        <f t="shared" si="47"/>
        <v>4.6957108027571266</v>
      </c>
      <c r="Q149" s="11">
        <v>20</v>
      </c>
      <c r="R149" s="11">
        <v>1</v>
      </c>
      <c r="S149" s="11">
        <v>15</v>
      </c>
      <c r="T149" s="38">
        <v>0.6</v>
      </c>
      <c r="U149" s="38">
        <v>0.7</v>
      </c>
      <c r="V149" s="4">
        <f t="shared" si="48"/>
        <v>1.1666666666666667</v>
      </c>
      <c r="W149" s="11">
        <v>10</v>
      </c>
      <c r="X149" s="38">
        <v>0.7</v>
      </c>
      <c r="Y149" s="38">
        <v>0.8</v>
      </c>
      <c r="Z149" s="4">
        <f t="shared" si="49"/>
        <v>1.142857142857143</v>
      </c>
      <c r="AA149" s="11">
        <v>40</v>
      </c>
      <c r="AB149" s="50">
        <f t="shared" si="54"/>
        <v>1.9430100832608328</v>
      </c>
      <c r="AC149" s="50">
        <f t="shared" si="55"/>
        <v>1.2743010083260833</v>
      </c>
      <c r="AD149" s="51">
        <v>3595</v>
      </c>
      <c r="AE149" s="38">
        <f t="shared" si="50"/>
        <v>326.81818181818181</v>
      </c>
      <c r="AF149" s="38">
        <f t="shared" si="51"/>
        <v>416.5</v>
      </c>
      <c r="AG149" s="38">
        <f t="shared" si="45"/>
        <v>89.681818181818187</v>
      </c>
      <c r="AH149" s="38">
        <v>0</v>
      </c>
      <c r="AI149" s="38">
        <f t="shared" si="52"/>
        <v>416.5</v>
      </c>
      <c r="AJ149" s="38"/>
      <c r="AK149" s="38">
        <f t="shared" si="53"/>
        <v>416.5</v>
      </c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0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10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10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10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10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10"/>
      <c r="GJ149" s="9"/>
      <c r="GK149" s="9"/>
    </row>
    <row r="150" spans="1:193" s="2" customFormat="1" ht="16.95" customHeight="1">
      <c r="A150" s="14" t="s">
        <v>150</v>
      </c>
      <c r="B150" s="38">
        <v>5912</v>
      </c>
      <c r="C150" s="38">
        <v>6162.3</v>
      </c>
      <c r="D150" s="4">
        <f t="shared" si="46"/>
        <v>1.0423376184032476</v>
      </c>
      <c r="E150" s="11">
        <v>10</v>
      </c>
      <c r="F150" s="5" t="s">
        <v>371</v>
      </c>
      <c r="G150" s="5" t="s">
        <v>371</v>
      </c>
      <c r="H150" s="5" t="s">
        <v>371</v>
      </c>
      <c r="I150" s="5" t="s">
        <v>371</v>
      </c>
      <c r="J150" s="5" t="s">
        <v>371</v>
      </c>
      <c r="K150" s="5" t="s">
        <v>371</v>
      </c>
      <c r="L150" s="5" t="s">
        <v>371</v>
      </c>
      <c r="M150" s="5" t="s">
        <v>371</v>
      </c>
      <c r="N150" s="38">
        <v>1921.2</v>
      </c>
      <c r="O150" s="38">
        <v>1049.8</v>
      </c>
      <c r="P150" s="4">
        <f t="shared" si="47"/>
        <v>0.54642931501145109</v>
      </c>
      <c r="Q150" s="11">
        <v>20</v>
      </c>
      <c r="R150" s="11">
        <v>1</v>
      </c>
      <c r="S150" s="11">
        <v>15</v>
      </c>
      <c r="T150" s="38">
        <v>1.2</v>
      </c>
      <c r="U150" s="38">
        <v>1.3</v>
      </c>
      <c r="V150" s="4">
        <f t="shared" si="48"/>
        <v>1.0833333333333335</v>
      </c>
      <c r="W150" s="11">
        <v>20</v>
      </c>
      <c r="X150" s="38">
        <v>2</v>
      </c>
      <c r="Y150" s="38">
        <v>2.1</v>
      </c>
      <c r="Z150" s="4">
        <f t="shared" si="49"/>
        <v>1.05</v>
      </c>
      <c r="AA150" s="11">
        <v>30</v>
      </c>
      <c r="AB150" s="50">
        <f t="shared" si="54"/>
        <v>0.9423013594834545</v>
      </c>
      <c r="AC150" s="50">
        <f t="shared" si="55"/>
        <v>0.9423013594834545</v>
      </c>
      <c r="AD150" s="51">
        <v>5347</v>
      </c>
      <c r="AE150" s="38">
        <f t="shared" si="50"/>
        <v>486.09090909090907</v>
      </c>
      <c r="AF150" s="38">
        <f t="shared" si="51"/>
        <v>458</v>
      </c>
      <c r="AG150" s="38">
        <f t="shared" si="45"/>
        <v>-28.090909090909065</v>
      </c>
      <c r="AH150" s="38">
        <v>25.3</v>
      </c>
      <c r="AI150" s="38">
        <f t="shared" si="52"/>
        <v>483.3</v>
      </c>
      <c r="AJ150" s="38"/>
      <c r="AK150" s="38">
        <f t="shared" si="53"/>
        <v>483.3</v>
      </c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10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10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10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10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10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10"/>
      <c r="GJ150" s="9"/>
      <c r="GK150" s="9"/>
    </row>
    <row r="151" spans="1:193" s="2" customFormat="1" ht="16.95" customHeight="1">
      <c r="A151" s="14" t="s">
        <v>151</v>
      </c>
      <c r="B151" s="38">
        <v>148</v>
      </c>
      <c r="C151" s="38">
        <v>207.8</v>
      </c>
      <c r="D151" s="4">
        <f t="shared" si="46"/>
        <v>1.404054054054054</v>
      </c>
      <c r="E151" s="11">
        <v>10</v>
      </c>
      <c r="F151" s="5" t="s">
        <v>371</v>
      </c>
      <c r="G151" s="5" t="s">
        <v>371</v>
      </c>
      <c r="H151" s="5" t="s">
        <v>371</v>
      </c>
      <c r="I151" s="5" t="s">
        <v>371</v>
      </c>
      <c r="J151" s="5" t="s">
        <v>371</v>
      </c>
      <c r="K151" s="5" t="s">
        <v>371</v>
      </c>
      <c r="L151" s="5" t="s">
        <v>371</v>
      </c>
      <c r="M151" s="5" t="s">
        <v>371</v>
      </c>
      <c r="N151" s="38">
        <v>4493.6000000000004</v>
      </c>
      <c r="O151" s="38">
        <v>1116.2</v>
      </c>
      <c r="P151" s="4">
        <f t="shared" si="47"/>
        <v>0.24839772120348941</v>
      </c>
      <c r="Q151" s="11">
        <v>20</v>
      </c>
      <c r="R151" s="11">
        <v>1</v>
      </c>
      <c r="S151" s="11">
        <v>15</v>
      </c>
      <c r="T151" s="38">
        <v>137</v>
      </c>
      <c r="U151" s="38">
        <v>172.5</v>
      </c>
      <c r="V151" s="4">
        <f t="shared" si="48"/>
        <v>1.2591240875912408</v>
      </c>
      <c r="W151" s="11">
        <v>35</v>
      </c>
      <c r="X151" s="38">
        <v>5</v>
      </c>
      <c r="Y151" s="38">
        <v>6</v>
      </c>
      <c r="Z151" s="4">
        <f t="shared" si="49"/>
        <v>1.2</v>
      </c>
      <c r="AA151" s="11">
        <v>15</v>
      </c>
      <c r="AB151" s="50">
        <f t="shared" si="54"/>
        <v>1.0113456634768816</v>
      </c>
      <c r="AC151" s="50">
        <f t="shared" si="55"/>
        <v>1.0113456634768816</v>
      </c>
      <c r="AD151" s="51">
        <v>1758</v>
      </c>
      <c r="AE151" s="38">
        <f t="shared" si="50"/>
        <v>159.81818181818181</v>
      </c>
      <c r="AF151" s="38">
        <f t="shared" si="51"/>
        <v>161.6</v>
      </c>
      <c r="AG151" s="38">
        <f t="shared" si="45"/>
        <v>1.7818181818181813</v>
      </c>
      <c r="AH151" s="38">
        <v>2.1</v>
      </c>
      <c r="AI151" s="38">
        <f t="shared" si="52"/>
        <v>163.69999999999999</v>
      </c>
      <c r="AJ151" s="38"/>
      <c r="AK151" s="38">
        <f t="shared" si="53"/>
        <v>163.69999999999999</v>
      </c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10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10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10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10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10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10"/>
      <c r="GJ151" s="9"/>
      <c r="GK151" s="9"/>
    </row>
    <row r="152" spans="1:193" s="2" customFormat="1" ht="16.95" customHeight="1">
      <c r="A152" s="14" t="s">
        <v>152</v>
      </c>
      <c r="B152" s="38">
        <v>0</v>
      </c>
      <c r="C152" s="38">
        <v>0</v>
      </c>
      <c r="D152" s="4">
        <f t="shared" si="46"/>
        <v>0</v>
      </c>
      <c r="E152" s="11">
        <v>0</v>
      </c>
      <c r="F152" s="5" t="s">
        <v>371</v>
      </c>
      <c r="G152" s="5" t="s">
        <v>371</v>
      </c>
      <c r="H152" s="5" t="s">
        <v>371</v>
      </c>
      <c r="I152" s="5" t="s">
        <v>371</v>
      </c>
      <c r="J152" s="5" t="s">
        <v>371</v>
      </c>
      <c r="K152" s="5" t="s">
        <v>371</v>
      </c>
      <c r="L152" s="5" t="s">
        <v>371</v>
      </c>
      <c r="M152" s="5" t="s">
        <v>371</v>
      </c>
      <c r="N152" s="38">
        <v>1462.6</v>
      </c>
      <c r="O152" s="38">
        <v>654.9</v>
      </c>
      <c r="P152" s="4">
        <f t="shared" si="47"/>
        <v>0.44776425543552578</v>
      </c>
      <c r="Q152" s="11">
        <v>20</v>
      </c>
      <c r="R152" s="11">
        <v>1</v>
      </c>
      <c r="S152" s="11">
        <v>15</v>
      </c>
      <c r="T152" s="38">
        <v>2.6</v>
      </c>
      <c r="U152" s="38">
        <v>3.1</v>
      </c>
      <c r="V152" s="4">
        <f t="shared" si="48"/>
        <v>1.1923076923076923</v>
      </c>
      <c r="W152" s="11">
        <v>5</v>
      </c>
      <c r="X152" s="38">
        <v>21.5</v>
      </c>
      <c r="Y152" s="38">
        <v>25.6</v>
      </c>
      <c r="Z152" s="4">
        <f t="shared" si="49"/>
        <v>1.1906976744186046</v>
      </c>
      <c r="AA152" s="11">
        <v>45</v>
      </c>
      <c r="AB152" s="50">
        <f t="shared" si="54"/>
        <v>0.9823319872833669</v>
      </c>
      <c r="AC152" s="50">
        <f t="shared" si="55"/>
        <v>0.9823319872833669</v>
      </c>
      <c r="AD152" s="51">
        <v>1030</v>
      </c>
      <c r="AE152" s="38">
        <f t="shared" si="50"/>
        <v>93.63636363636364</v>
      </c>
      <c r="AF152" s="38">
        <f t="shared" si="51"/>
        <v>92</v>
      </c>
      <c r="AG152" s="38">
        <f t="shared" si="45"/>
        <v>-1.6363636363636402</v>
      </c>
      <c r="AH152" s="38">
        <v>-8.1999999999999993</v>
      </c>
      <c r="AI152" s="38">
        <f t="shared" si="52"/>
        <v>83.8</v>
      </c>
      <c r="AJ152" s="38"/>
      <c r="AK152" s="38">
        <f t="shared" si="53"/>
        <v>83.8</v>
      </c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10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10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10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10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10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10"/>
      <c r="GJ152" s="9"/>
      <c r="GK152" s="9"/>
    </row>
    <row r="153" spans="1:193" s="2" customFormat="1" ht="16.95" customHeight="1">
      <c r="A153" s="14" t="s">
        <v>153</v>
      </c>
      <c r="B153" s="38">
        <v>17000</v>
      </c>
      <c r="C153" s="38">
        <v>19044.3</v>
      </c>
      <c r="D153" s="4">
        <f t="shared" si="46"/>
        <v>1.1202529411764706</v>
      </c>
      <c r="E153" s="11">
        <v>10</v>
      </c>
      <c r="F153" s="5" t="s">
        <v>371</v>
      </c>
      <c r="G153" s="5" t="s">
        <v>371</v>
      </c>
      <c r="H153" s="5" t="s">
        <v>371</v>
      </c>
      <c r="I153" s="5" t="s">
        <v>371</v>
      </c>
      <c r="J153" s="5" t="s">
        <v>371</v>
      </c>
      <c r="K153" s="5" t="s">
        <v>371</v>
      </c>
      <c r="L153" s="5" t="s">
        <v>371</v>
      </c>
      <c r="M153" s="5" t="s">
        <v>371</v>
      </c>
      <c r="N153" s="38">
        <v>1529.1</v>
      </c>
      <c r="O153" s="38">
        <v>813.9</v>
      </c>
      <c r="P153" s="4">
        <f t="shared" si="47"/>
        <v>0.53227388659996078</v>
      </c>
      <c r="Q153" s="11">
        <v>20</v>
      </c>
      <c r="R153" s="11">
        <v>1</v>
      </c>
      <c r="S153" s="11">
        <v>15</v>
      </c>
      <c r="T153" s="38">
        <v>0.8</v>
      </c>
      <c r="U153" s="38">
        <v>0.8</v>
      </c>
      <c r="V153" s="4">
        <f t="shared" si="48"/>
        <v>1</v>
      </c>
      <c r="W153" s="11">
        <v>15</v>
      </c>
      <c r="X153" s="38">
        <v>10</v>
      </c>
      <c r="Y153" s="38">
        <v>15.8</v>
      </c>
      <c r="Z153" s="4">
        <f t="shared" si="49"/>
        <v>1.58</v>
      </c>
      <c r="AA153" s="11">
        <v>35</v>
      </c>
      <c r="AB153" s="50">
        <f t="shared" si="54"/>
        <v>1.1278737594080412</v>
      </c>
      <c r="AC153" s="50">
        <f t="shared" si="55"/>
        <v>1.1278737594080412</v>
      </c>
      <c r="AD153" s="51">
        <v>6100</v>
      </c>
      <c r="AE153" s="38">
        <f t="shared" si="50"/>
        <v>554.5454545454545</v>
      </c>
      <c r="AF153" s="38">
        <f t="shared" si="51"/>
        <v>625.5</v>
      </c>
      <c r="AG153" s="38">
        <f t="shared" si="45"/>
        <v>70.954545454545496</v>
      </c>
      <c r="AH153" s="38">
        <v>-1.6</v>
      </c>
      <c r="AI153" s="38">
        <f t="shared" si="52"/>
        <v>623.9</v>
      </c>
      <c r="AJ153" s="38"/>
      <c r="AK153" s="38">
        <f t="shared" si="53"/>
        <v>623.9</v>
      </c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10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10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10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10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10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10"/>
      <c r="GJ153" s="9"/>
      <c r="GK153" s="9"/>
    </row>
    <row r="154" spans="1:193" s="2" customFormat="1" ht="16.95" customHeight="1">
      <c r="A154" s="14" t="s">
        <v>154</v>
      </c>
      <c r="B154" s="38">
        <v>363</v>
      </c>
      <c r="C154" s="38">
        <v>394.8</v>
      </c>
      <c r="D154" s="4">
        <f t="shared" si="46"/>
        <v>1.087603305785124</v>
      </c>
      <c r="E154" s="11">
        <v>10</v>
      </c>
      <c r="F154" s="5" t="s">
        <v>371</v>
      </c>
      <c r="G154" s="5" t="s">
        <v>371</v>
      </c>
      <c r="H154" s="5" t="s">
        <v>371</v>
      </c>
      <c r="I154" s="5" t="s">
        <v>371</v>
      </c>
      <c r="J154" s="5" t="s">
        <v>371</v>
      </c>
      <c r="K154" s="5" t="s">
        <v>371</v>
      </c>
      <c r="L154" s="5" t="s">
        <v>371</v>
      </c>
      <c r="M154" s="5" t="s">
        <v>371</v>
      </c>
      <c r="N154" s="38">
        <v>4031.7</v>
      </c>
      <c r="O154" s="38">
        <v>167</v>
      </c>
      <c r="P154" s="4">
        <f t="shared" si="47"/>
        <v>4.1421732767815064E-2</v>
      </c>
      <c r="Q154" s="11">
        <v>20</v>
      </c>
      <c r="R154" s="11">
        <v>1</v>
      </c>
      <c r="S154" s="11">
        <v>15</v>
      </c>
      <c r="T154" s="38">
        <v>230</v>
      </c>
      <c r="U154" s="38">
        <v>236.1</v>
      </c>
      <c r="V154" s="4">
        <f t="shared" si="48"/>
        <v>1.0265217391304347</v>
      </c>
      <c r="W154" s="11">
        <v>35</v>
      </c>
      <c r="X154" s="38">
        <v>6</v>
      </c>
      <c r="Y154" s="38">
        <v>6.1</v>
      </c>
      <c r="Z154" s="4">
        <f t="shared" si="49"/>
        <v>1.0166666666666666</v>
      </c>
      <c r="AA154" s="11">
        <v>15</v>
      </c>
      <c r="AB154" s="50">
        <f t="shared" si="54"/>
        <v>0.81981819560813429</v>
      </c>
      <c r="AC154" s="50">
        <f t="shared" si="55"/>
        <v>0.81981819560813429</v>
      </c>
      <c r="AD154" s="51">
        <v>1469</v>
      </c>
      <c r="AE154" s="38">
        <f t="shared" si="50"/>
        <v>133.54545454545453</v>
      </c>
      <c r="AF154" s="38">
        <f t="shared" si="51"/>
        <v>109.5</v>
      </c>
      <c r="AG154" s="38">
        <f t="shared" si="45"/>
        <v>-24.045454545454533</v>
      </c>
      <c r="AH154" s="38">
        <v>0.3</v>
      </c>
      <c r="AI154" s="38">
        <f t="shared" si="52"/>
        <v>109.8</v>
      </c>
      <c r="AJ154" s="38"/>
      <c r="AK154" s="38">
        <f t="shared" si="53"/>
        <v>109.8</v>
      </c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10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10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10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10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10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10"/>
      <c r="GJ154" s="9"/>
      <c r="GK154" s="9"/>
    </row>
    <row r="155" spans="1:193" s="2" customFormat="1" ht="16.95" customHeight="1">
      <c r="A155" s="14" t="s">
        <v>155</v>
      </c>
      <c r="B155" s="38">
        <v>3733</v>
      </c>
      <c r="C155" s="38">
        <v>3844.4</v>
      </c>
      <c r="D155" s="4">
        <f t="shared" si="46"/>
        <v>1.0298419501741227</v>
      </c>
      <c r="E155" s="11">
        <v>10</v>
      </c>
      <c r="F155" s="5" t="s">
        <v>371</v>
      </c>
      <c r="G155" s="5" t="s">
        <v>371</v>
      </c>
      <c r="H155" s="5" t="s">
        <v>371</v>
      </c>
      <c r="I155" s="5" t="s">
        <v>371</v>
      </c>
      <c r="J155" s="5" t="s">
        <v>371</v>
      </c>
      <c r="K155" s="5" t="s">
        <v>371</v>
      </c>
      <c r="L155" s="5" t="s">
        <v>371</v>
      </c>
      <c r="M155" s="5" t="s">
        <v>371</v>
      </c>
      <c r="N155" s="38">
        <v>2076.6</v>
      </c>
      <c r="O155" s="38">
        <v>313.7</v>
      </c>
      <c r="P155" s="4">
        <f t="shared" si="47"/>
        <v>0.15106423962245979</v>
      </c>
      <c r="Q155" s="11">
        <v>20</v>
      </c>
      <c r="R155" s="11">
        <v>1</v>
      </c>
      <c r="S155" s="11">
        <v>15</v>
      </c>
      <c r="T155" s="38">
        <v>0.4</v>
      </c>
      <c r="U155" s="38">
        <v>0.5</v>
      </c>
      <c r="V155" s="4">
        <f t="shared" si="48"/>
        <v>1.25</v>
      </c>
      <c r="W155" s="11">
        <v>20</v>
      </c>
      <c r="X155" s="38">
        <v>0.4</v>
      </c>
      <c r="Y155" s="38">
        <v>0.5</v>
      </c>
      <c r="Z155" s="4">
        <f t="shared" si="49"/>
        <v>1.25</v>
      </c>
      <c r="AA155" s="11">
        <v>30</v>
      </c>
      <c r="AB155" s="50">
        <f t="shared" si="54"/>
        <v>0.95599688730726751</v>
      </c>
      <c r="AC155" s="50">
        <f t="shared" si="55"/>
        <v>0.95599688730726751</v>
      </c>
      <c r="AD155" s="51">
        <v>2472</v>
      </c>
      <c r="AE155" s="38">
        <f t="shared" si="50"/>
        <v>224.72727272727272</v>
      </c>
      <c r="AF155" s="38">
        <f t="shared" si="51"/>
        <v>214.8</v>
      </c>
      <c r="AG155" s="38">
        <f t="shared" si="45"/>
        <v>-9.9272727272727082</v>
      </c>
      <c r="AH155" s="38">
        <v>-0.6</v>
      </c>
      <c r="AI155" s="38">
        <f t="shared" si="52"/>
        <v>214.20000000000002</v>
      </c>
      <c r="AJ155" s="38"/>
      <c r="AK155" s="38">
        <f t="shared" si="53"/>
        <v>214.2</v>
      </c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10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10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10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10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10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10"/>
      <c r="GJ155" s="9"/>
      <c r="GK155" s="9"/>
    </row>
    <row r="156" spans="1:193" s="2" customFormat="1" ht="16.95" customHeight="1">
      <c r="A156" s="14" t="s">
        <v>156</v>
      </c>
      <c r="B156" s="38">
        <v>54</v>
      </c>
      <c r="C156" s="38">
        <v>57</v>
      </c>
      <c r="D156" s="4">
        <f t="shared" si="46"/>
        <v>1.0555555555555556</v>
      </c>
      <c r="E156" s="11">
        <v>10</v>
      </c>
      <c r="F156" s="5" t="s">
        <v>371</v>
      </c>
      <c r="G156" s="5" t="s">
        <v>371</v>
      </c>
      <c r="H156" s="5" t="s">
        <v>371</v>
      </c>
      <c r="I156" s="5" t="s">
        <v>371</v>
      </c>
      <c r="J156" s="5" t="s">
        <v>371</v>
      </c>
      <c r="K156" s="5" t="s">
        <v>371</v>
      </c>
      <c r="L156" s="5" t="s">
        <v>371</v>
      </c>
      <c r="M156" s="5" t="s">
        <v>371</v>
      </c>
      <c r="N156" s="38">
        <v>319.89999999999998</v>
      </c>
      <c r="O156" s="38">
        <v>150.5</v>
      </c>
      <c r="P156" s="4">
        <f t="shared" si="47"/>
        <v>0.47045951859956242</v>
      </c>
      <c r="Q156" s="11">
        <v>20</v>
      </c>
      <c r="R156" s="11">
        <v>1</v>
      </c>
      <c r="S156" s="11">
        <v>15</v>
      </c>
      <c r="T156" s="38">
        <v>130</v>
      </c>
      <c r="U156" s="38">
        <v>153.6</v>
      </c>
      <c r="V156" s="4">
        <f t="shared" si="48"/>
        <v>1.1815384615384614</v>
      </c>
      <c r="W156" s="11">
        <v>30</v>
      </c>
      <c r="X156" s="38">
        <v>3</v>
      </c>
      <c r="Y156" s="38">
        <v>3.4</v>
      </c>
      <c r="Z156" s="4">
        <f t="shared" si="49"/>
        <v>1.1333333333333333</v>
      </c>
      <c r="AA156" s="11">
        <v>20</v>
      </c>
      <c r="AB156" s="50">
        <f t="shared" si="54"/>
        <v>0.97976385726702409</v>
      </c>
      <c r="AC156" s="50">
        <f t="shared" si="55"/>
        <v>0.97976385726702409</v>
      </c>
      <c r="AD156" s="51">
        <v>2707</v>
      </c>
      <c r="AE156" s="38">
        <f t="shared" si="50"/>
        <v>246.09090909090909</v>
      </c>
      <c r="AF156" s="38">
        <f t="shared" si="51"/>
        <v>241.1</v>
      </c>
      <c r="AG156" s="38">
        <f t="shared" si="45"/>
        <v>-4.9909090909090992</v>
      </c>
      <c r="AH156" s="38">
        <v>4.3</v>
      </c>
      <c r="AI156" s="38">
        <f t="shared" si="52"/>
        <v>245.4</v>
      </c>
      <c r="AJ156" s="38"/>
      <c r="AK156" s="38">
        <f t="shared" si="53"/>
        <v>245.4</v>
      </c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10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10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10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10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10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10"/>
      <c r="GJ156" s="9"/>
      <c r="GK156" s="9"/>
    </row>
    <row r="157" spans="1:193" s="2" customFormat="1" ht="16.95" customHeight="1">
      <c r="A157" s="14" t="s">
        <v>157</v>
      </c>
      <c r="B157" s="38">
        <v>251</v>
      </c>
      <c r="C157" s="38">
        <v>291.2</v>
      </c>
      <c r="D157" s="4">
        <f t="shared" si="46"/>
        <v>1.1601593625498008</v>
      </c>
      <c r="E157" s="11">
        <v>10</v>
      </c>
      <c r="F157" s="5" t="s">
        <v>371</v>
      </c>
      <c r="G157" s="5" t="s">
        <v>371</v>
      </c>
      <c r="H157" s="5" t="s">
        <v>371</v>
      </c>
      <c r="I157" s="5" t="s">
        <v>371</v>
      </c>
      <c r="J157" s="5" t="s">
        <v>371</v>
      </c>
      <c r="K157" s="5" t="s">
        <v>371</v>
      </c>
      <c r="L157" s="5" t="s">
        <v>371</v>
      </c>
      <c r="M157" s="5" t="s">
        <v>371</v>
      </c>
      <c r="N157" s="38">
        <v>578.70000000000005</v>
      </c>
      <c r="O157" s="38">
        <v>197.2</v>
      </c>
      <c r="P157" s="4">
        <f t="shared" si="47"/>
        <v>0.34076378088819764</v>
      </c>
      <c r="Q157" s="11">
        <v>20</v>
      </c>
      <c r="R157" s="11">
        <v>1</v>
      </c>
      <c r="S157" s="11">
        <v>15</v>
      </c>
      <c r="T157" s="38">
        <v>0.1</v>
      </c>
      <c r="U157" s="38">
        <v>0.2</v>
      </c>
      <c r="V157" s="4">
        <f t="shared" si="48"/>
        <v>2</v>
      </c>
      <c r="W157" s="11">
        <v>15</v>
      </c>
      <c r="X157" s="38">
        <v>0.5</v>
      </c>
      <c r="Y157" s="38">
        <v>0.5</v>
      </c>
      <c r="Z157" s="4">
        <f t="shared" si="49"/>
        <v>1</v>
      </c>
      <c r="AA157" s="11">
        <v>35</v>
      </c>
      <c r="AB157" s="50">
        <f t="shared" si="54"/>
        <v>1.0359670446659153</v>
      </c>
      <c r="AC157" s="50">
        <f t="shared" si="55"/>
        <v>1.0359670446659153</v>
      </c>
      <c r="AD157" s="51">
        <v>3163</v>
      </c>
      <c r="AE157" s="38">
        <f t="shared" si="50"/>
        <v>287.54545454545456</v>
      </c>
      <c r="AF157" s="38">
        <f t="shared" si="51"/>
        <v>297.89999999999998</v>
      </c>
      <c r="AG157" s="38">
        <f t="shared" si="45"/>
        <v>10.354545454545416</v>
      </c>
      <c r="AH157" s="38">
        <v>0</v>
      </c>
      <c r="AI157" s="38">
        <f t="shared" si="52"/>
        <v>297.89999999999998</v>
      </c>
      <c r="AJ157" s="38"/>
      <c r="AK157" s="38">
        <f t="shared" si="53"/>
        <v>297.89999999999998</v>
      </c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10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10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10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10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10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10"/>
      <c r="GJ157" s="9"/>
      <c r="GK157" s="9"/>
    </row>
    <row r="158" spans="1:193" s="2" customFormat="1" ht="16.95" customHeight="1">
      <c r="A158" s="14" t="s">
        <v>158</v>
      </c>
      <c r="B158" s="38">
        <v>1540391</v>
      </c>
      <c r="C158" s="38">
        <v>573450.1</v>
      </c>
      <c r="D158" s="4">
        <f t="shared" si="46"/>
        <v>0.37227567546161977</v>
      </c>
      <c r="E158" s="11">
        <v>10</v>
      </c>
      <c r="F158" s="5" t="s">
        <v>371</v>
      </c>
      <c r="G158" s="5" t="s">
        <v>371</v>
      </c>
      <c r="H158" s="5" t="s">
        <v>371</v>
      </c>
      <c r="I158" s="5" t="s">
        <v>371</v>
      </c>
      <c r="J158" s="5" t="s">
        <v>371</v>
      </c>
      <c r="K158" s="5" t="s">
        <v>371</v>
      </c>
      <c r="L158" s="5" t="s">
        <v>371</v>
      </c>
      <c r="M158" s="5" t="s">
        <v>371</v>
      </c>
      <c r="N158" s="38">
        <v>3741.8</v>
      </c>
      <c r="O158" s="38">
        <v>1899.4</v>
      </c>
      <c r="P158" s="4">
        <f t="shared" si="47"/>
        <v>0.50761665508578757</v>
      </c>
      <c r="Q158" s="11">
        <v>20</v>
      </c>
      <c r="R158" s="11">
        <v>1</v>
      </c>
      <c r="S158" s="11">
        <v>15</v>
      </c>
      <c r="T158" s="38">
        <v>0.4</v>
      </c>
      <c r="U158" s="38">
        <v>0.4</v>
      </c>
      <c r="V158" s="4">
        <f t="shared" si="48"/>
        <v>1</v>
      </c>
      <c r="W158" s="11">
        <v>20</v>
      </c>
      <c r="X158" s="38">
        <v>259.10000000000002</v>
      </c>
      <c r="Y158" s="38">
        <v>295</v>
      </c>
      <c r="Z158" s="4">
        <f t="shared" si="49"/>
        <v>1.1385565418757235</v>
      </c>
      <c r="AA158" s="11">
        <v>30</v>
      </c>
      <c r="AB158" s="50">
        <f t="shared" si="54"/>
        <v>0.87401880118530162</v>
      </c>
      <c r="AC158" s="50">
        <f t="shared" si="55"/>
        <v>0.87401880118530162</v>
      </c>
      <c r="AD158" s="51">
        <v>1517</v>
      </c>
      <c r="AE158" s="38">
        <f t="shared" si="50"/>
        <v>137.90909090909091</v>
      </c>
      <c r="AF158" s="38">
        <f t="shared" si="51"/>
        <v>120.5</v>
      </c>
      <c r="AG158" s="38">
        <f t="shared" si="45"/>
        <v>-17.409090909090907</v>
      </c>
      <c r="AH158" s="38">
        <v>-14.6</v>
      </c>
      <c r="AI158" s="38">
        <f t="shared" si="52"/>
        <v>105.9</v>
      </c>
      <c r="AJ158" s="38"/>
      <c r="AK158" s="38">
        <f t="shared" si="53"/>
        <v>105.9</v>
      </c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10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10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10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10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10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10"/>
      <c r="GJ158" s="9"/>
      <c r="GK158" s="9"/>
    </row>
    <row r="159" spans="1:193" s="2" customFormat="1" ht="16.95" customHeight="1">
      <c r="A159" s="19" t="s">
        <v>159</v>
      </c>
      <c r="B159" s="7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10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10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10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10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10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10"/>
      <c r="GJ159" s="9"/>
      <c r="GK159" s="9"/>
    </row>
    <row r="160" spans="1:193" s="2" customFormat="1" ht="16.95" customHeight="1">
      <c r="A160" s="14" t="s">
        <v>73</v>
      </c>
      <c r="B160" s="38">
        <v>0</v>
      </c>
      <c r="C160" s="38">
        <v>0</v>
      </c>
      <c r="D160" s="4">
        <f t="shared" si="46"/>
        <v>0</v>
      </c>
      <c r="E160" s="11">
        <v>0</v>
      </c>
      <c r="F160" s="5" t="s">
        <v>371</v>
      </c>
      <c r="G160" s="5" t="s">
        <v>371</v>
      </c>
      <c r="H160" s="5" t="s">
        <v>371</v>
      </c>
      <c r="I160" s="5" t="s">
        <v>371</v>
      </c>
      <c r="J160" s="5" t="s">
        <v>371</v>
      </c>
      <c r="K160" s="5" t="s">
        <v>371</v>
      </c>
      <c r="L160" s="5" t="s">
        <v>371</v>
      </c>
      <c r="M160" s="5" t="s">
        <v>371</v>
      </c>
      <c r="N160" s="38">
        <v>240.6</v>
      </c>
      <c r="O160" s="38">
        <v>660.2</v>
      </c>
      <c r="P160" s="4">
        <f t="shared" si="47"/>
        <v>2.7439733998337492</v>
      </c>
      <c r="Q160" s="11">
        <v>20</v>
      </c>
      <c r="R160" s="11">
        <v>1</v>
      </c>
      <c r="S160" s="11">
        <v>15</v>
      </c>
      <c r="T160" s="38">
        <v>0</v>
      </c>
      <c r="U160" s="38">
        <v>1</v>
      </c>
      <c r="V160" s="4">
        <f t="shared" si="48"/>
        <v>1</v>
      </c>
      <c r="W160" s="11">
        <v>25</v>
      </c>
      <c r="X160" s="38">
        <v>1</v>
      </c>
      <c r="Y160" s="38">
        <v>1.2</v>
      </c>
      <c r="Z160" s="4">
        <f t="shared" si="49"/>
        <v>1.2</v>
      </c>
      <c r="AA160" s="11">
        <v>25</v>
      </c>
      <c r="AB160" s="50">
        <f t="shared" si="54"/>
        <v>1.469170211725588</v>
      </c>
      <c r="AC160" s="50">
        <f t="shared" si="55"/>
        <v>1.2269170211725589</v>
      </c>
      <c r="AD160" s="51">
        <v>1236</v>
      </c>
      <c r="AE160" s="38">
        <f t="shared" si="50"/>
        <v>112.36363636363636</v>
      </c>
      <c r="AF160" s="38">
        <f t="shared" si="51"/>
        <v>137.9</v>
      </c>
      <c r="AG160" s="38">
        <f t="shared" si="45"/>
        <v>25.536363636363646</v>
      </c>
      <c r="AH160" s="38">
        <v>1.6</v>
      </c>
      <c r="AI160" s="38">
        <f t="shared" si="52"/>
        <v>139.5</v>
      </c>
      <c r="AJ160" s="38"/>
      <c r="AK160" s="38">
        <f t="shared" si="53"/>
        <v>139.5</v>
      </c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10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10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10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10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10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10"/>
      <c r="GJ160" s="9"/>
      <c r="GK160" s="9"/>
    </row>
    <row r="161" spans="1:193" s="2" customFormat="1" ht="16.95" customHeight="1">
      <c r="A161" s="14" t="s">
        <v>160</v>
      </c>
      <c r="B161" s="38">
        <v>0</v>
      </c>
      <c r="C161" s="38">
        <v>0</v>
      </c>
      <c r="D161" s="4">
        <f t="shared" si="46"/>
        <v>0</v>
      </c>
      <c r="E161" s="11">
        <v>0</v>
      </c>
      <c r="F161" s="5" t="s">
        <v>371</v>
      </c>
      <c r="G161" s="5" t="s">
        <v>371</v>
      </c>
      <c r="H161" s="5" t="s">
        <v>371</v>
      </c>
      <c r="I161" s="5" t="s">
        <v>371</v>
      </c>
      <c r="J161" s="5" t="s">
        <v>371</v>
      </c>
      <c r="K161" s="5" t="s">
        <v>371</v>
      </c>
      <c r="L161" s="5" t="s">
        <v>371</v>
      </c>
      <c r="M161" s="5" t="s">
        <v>371</v>
      </c>
      <c r="N161" s="38">
        <v>662.8</v>
      </c>
      <c r="O161" s="38">
        <v>90.6</v>
      </c>
      <c r="P161" s="4">
        <f t="shared" si="47"/>
        <v>0.13669281834640917</v>
      </c>
      <c r="Q161" s="11">
        <v>20</v>
      </c>
      <c r="R161" s="11">
        <v>1</v>
      </c>
      <c r="S161" s="11">
        <v>15</v>
      </c>
      <c r="T161" s="38">
        <v>0</v>
      </c>
      <c r="U161" s="38">
        <v>0</v>
      </c>
      <c r="V161" s="4">
        <f t="shared" si="48"/>
        <v>1</v>
      </c>
      <c r="W161" s="11">
        <v>45</v>
      </c>
      <c r="X161" s="38">
        <v>0</v>
      </c>
      <c r="Y161" s="38">
        <v>0</v>
      </c>
      <c r="Z161" s="4">
        <f t="shared" si="49"/>
        <v>1</v>
      </c>
      <c r="AA161" s="11">
        <v>5</v>
      </c>
      <c r="AB161" s="50">
        <f t="shared" si="54"/>
        <v>0.79686889843444919</v>
      </c>
      <c r="AC161" s="50">
        <f t="shared" si="55"/>
        <v>0.79686889843444919</v>
      </c>
      <c r="AD161" s="51">
        <v>765</v>
      </c>
      <c r="AE161" s="38">
        <f t="shared" si="50"/>
        <v>69.545454545454547</v>
      </c>
      <c r="AF161" s="38">
        <f t="shared" si="51"/>
        <v>55.4</v>
      </c>
      <c r="AG161" s="38">
        <f t="shared" si="45"/>
        <v>-14.145454545454548</v>
      </c>
      <c r="AH161" s="38">
        <v>-1.7</v>
      </c>
      <c r="AI161" s="38">
        <f t="shared" si="52"/>
        <v>53.699999999999996</v>
      </c>
      <c r="AJ161" s="38"/>
      <c r="AK161" s="38">
        <f t="shared" si="53"/>
        <v>53.7</v>
      </c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0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10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10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10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10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10"/>
      <c r="GJ161" s="9"/>
      <c r="GK161" s="9"/>
    </row>
    <row r="162" spans="1:193" s="2" customFormat="1" ht="16.95" customHeight="1">
      <c r="A162" s="14" t="s">
        <v>161</v>
      </c>
      <c r="B162" s="38">
        <v>0</v>
      </c>
      <c r="C162" s="38">
        <v>0</v>
      </c>
      <c r="D162" s="4">
        <f t="shared" si="46"/>
        <v>1</v>
      </c>
      <c r="E162" s="11">
        <v>10</v>
      </c>
      <c r="F162" s="5" t="s">
        <v>371</v>
      </c>
      <c r="G162" s="5" t="s">
        <v>371</v>
      </c>
      <c r="H162" s="5" t="s">
        <v>371</v>
      </c>
      <c r="I162" s="5" t="s">
        <v>371</v>
      </c>
      <c r="J162" s="5" t="s">
        <v>371</v>
      </c>
      <c r="K162" s="5" t="s">
        <v>371</v>
      </c>
      <c r="L162" s="5" t="s">
        <v>371</v>
      </c>
      <c r="M162" s="5" t="s">
        <v>371</v>
      </c>
      <c r="N162" s="38">
        <v>160</v>
      </c>
      <c r="O162" s="38">
        <v>147.5</v>
      </c>
      <c r="P162" s="4">
        <f t="shared" si="47"/>
        <v>0.921875</v>
      </c>
      <c r="Q162" s="11">
        <v>20</v>
      </c>
      <c r="R162" s="11">
        <v>1</v>
      </c>
      <c r="S162" s="11">
        <v>15</v>
      </c>
      <c r="T162" s="38">
        <v>0</v>
      </c>
      <c r="U162" s="38">
        <v>0</v>
      </c>
      <c r="V162" s="4">
        <f t="shared" si="48"/>
        <v>1</v>
      </c>
      <c r="W162" s="11">
        <v>20</v>
      </c>
      <c r="X162" s="38">
        <v>0</v>
      </c>
      <c r="Y162" s="38">
        <v>0</v>
      </c>
      <c r="Z162" s="4">
        <f t="shared" si="49"/>
        <v>1</v>
      </c>
      <c r="AA162" s="11">
        <v>30</v>
      </c>
      <c r="AB162" s="50">
        <f t="shared" si="54"/>
        <v>0.98355263157894735</v>
      </c>
      <c r="AC162" s="50">
        <f t="shared" si="55"/>
        <v>0.98355263157894735</v>
      </c>
      <c r="AD162" s="51">
        <v>2873</v>
      </c>
      <c r="AE162" s="38">
        <f t="shared" si="50"/>
        <v>261.18181818181819</v>
      </c>
      <c r="AF162" s="38">
        <f t="shared" si="51"/>
        <v>256.89999999999998</v>
      </c>
      <c r="AG162" s="38">
        <f t="shared" si="45"/>
        <v>-4.2818181818182097</v>
      </c>
      <c r="AH162" s="38">
        <v>-4.2</v>
      </c>
      <c r="AI162" s="38">
        <f t="shared" si="52"/>
        <v>252.7</v>
      </c>
      <c r="AJ162" s="38"/>
      <c r="AK162" s="38">
        <f t="shared" si="53"/>
        <v>252.7</v>
      </c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10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10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10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10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10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10"/>
      <c r="GJ162" s="9"/>
      <c r="GK162" s="9"/>
    </row>
    <row r="163" spans="1:193" s="2" customFormat="1" ht="16.95" customHeight="1">
      <c r="A163" s="14" t="s">
        <v>162</v>
      </c>
      <c r="B163" s="38">
        <v>0</v>
      </c>
      <c r="C163" s="38">
        <v>0</v>
      </c>
      <c r="D163" s="4">
        <f t="shared" si="46"/>
        <v>1</v>
      </c>
      <c r="E163" s="11">
        <v>10</v>
      </c>
      <c r="F163" s="5" t="s">
        <v>371</v>
      </c>
      <c r="G163" s="5" t="s">
        <v>371</v>
      </c>
      <c r="H163" s="5" t="s">
        <v>371</v>
      </c>
      <c r="I163" s="5" t="s">
        <v>371</v>
      </c>
      <c r="J163" s="5" t="s">
        <v>371</v>
      </c>
      <c r="K163" s="5" t="s">
        <v>371</v>
      </c>
      <c r="L163" s="5" t="s">
        <v>371</v>
      </c>
      <c r="M163" s="5" t="s">
        <v>371</v>
      </c>
      <c r="N163" s="38">
        <v>1212.5</v>
      </c>
      <c r="O163" s="38">
        <v>350.7</v>
      </c>
      <c r="P163" s="4">
        <f t="shared" si="47"/>
        <v>0.28923711340206187</v>
      </c>
      <c r="Q163" s="11">
        <v>20</v>
      </c>
      <c r="R163" s="11">
        <v>1</v>
      </c>
      <c r="S163" s="11">
        <v>15</v>
      </c>
      <c r="T163" s="38">
        <v>0</v>
      </c>
      <c r="U163" s="38">
        <v>0</v>
      </c>
      <c r="V163" s="4">
        <f t="shared" si="48"/>
        <v>1</v>
      </c>
      <c r="W163" s="11">
        <v>25</v>
      </c>
      <c r="X163" s="38">
        <v>0</v>
      </c>
      <c r="Y163" s="38">
        <v>0</v>
      </c>
      <c r="Z163" s="4">
        <f t="shared" si="49"/>
        <v>1</v>
      </c>
      <c r="AA163" s="11">
        <v>25</v>
      </c>
      <c r="AB163" s="50">
        <f t="shared" si="54"/>
        <v>0.85036570808464462</v>
      </c>
      <c r="AC163" s="50">
        <f t="shared" si="55"/>
        <v>0.85036570808464462</v>
      </c>
      <c r="AD163" s="51">
        <v>1808</v>
      </c>
      <c r="AE163" s="38">
        <f t="shared" si="50"/>
        <v>164.36363636363637</v>
      </c>
      <c r="AF163" s="38">
        <f t="shared" si="51"/>
        <v>139.80000000000001</v>
      </c>
      <c r="AG163" s="38">
        <f t="shared" si="45"/>
        <v>-24.563636363636363</v>
      </c>
      <c r="AH163" s="38">
        <v>2</v>
      </c>
      <c r="AI163" s="38">
        <f t="shared" si="52"/>
        <v>141.80000000000001</v>
      </c>
      <c r="AJ163" s="38"/>
      <c r="AK163" s="38">
        <f t="shared" si="53"/>
        <v>141.80000000000001</v>
      </c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10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10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10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10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10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10"/>
      <c r="GJ163" s="9"/>
      <c r="GK163" s="9"/>
    </row>
    <row r="164" spans="1:193" s="2" customFormat="1" ht="16.95" customHeight="1">
      <c r="A164" s="14" t="s">
        <v>163</v>
      </c>
      <c r="B164" s="38">
        <v>78000</v>
      </c>
      <c r="C164" s="38">
        <v>77855.8</v>
      </c>
      <c r="D164" s="4">
        <f t="shared" si="46"/>
        <v>0.99815128205128212</v>
      </c>
      <c r="E164" s="11">
        <v>10</v>
      </c>
      <c r="F164" s="5" t="s">
        <v>371</v>
      </c>
      <c r="G164" s="5" t="s">
        <v>371</v>
      </c>
      <c r="H164" s="5" t="s">
        <v>371</v>
      </c>
      <c r="I164" s="5" t="s">
        <v>371</v>
      </c>
      <c r="J164" s="5" t="s">
        <v>371</v>
      </c>
      <c r="K164" s="5" t="s">
        <v>371</v>
      </c>
      <c r="L164" s="5" t="s">
        <v>371</v>
      </c>
      <c r="M164" s="5" t="s">
        <v>371</v>
      </c>
      <c r="N164" s="38">
        <v>2916.6</v>
      </c>
      <c r="O164" s="38">
        <v>3737.7</v>
      </c>
      <c r="P164" s="4">
        <f t="shared" si="47"/>
        <v>1.2815264348899402</v>
      </c>
      <c r="Q164" s="11">
        <v>20</v>
      </c>
      <c r="R164" s="11">
        <v>1</v>
      </c>
      <c r="S164" s="11">
        <v>15</v>
      </c>
      <c r="T164" s="38">
        <v>161</v>
      </c>
      <c r="U164" s="38">
        <v>162.19999999999999</v>
      </c>
      <c r="V164" s="4">
        <f t="shared" si="48"/>
        <v>1.0074534161490682</v>
      </c>
      <c r="W164" s="11">
        <v>25</v>
      </c>
      <c r="X164" s="38">
        <v>2</v>
      </c>
      <c r="Y164" s="38">
        <v>8.3000000000000007</v>
      </c>
      <c r="Z164" s="4">
        <f t="shared" si="49"/>
        <v>4.1500000000000004</v>
      </c>
      <c r="AA164" s="11">
        <v>25</v>
      </c>
      <c r="AB164" s="50">
        <f t="shared" si="54"/>
        <v>1.8899829149688248</v>
      </c>
      <c r="AC164" s="50">
        <f t="shared" si="55"/>
        <v>1.2689982914968825</v>
      </c>
      <c r="AD164" s="51">
        <v>4702</v>
      </c>
      <c r="AE164" s="38">
        <f t="shared" si="50"/>
        <v>427.45454545454544</v>
      </c>
      <c r="AF164" s="38">
        <f t="shared" si="51"/>
        <v>542.4</v>
      </c>
      <c r="AG164" s="38">
        <f t="shared" si="45"/>
        <v>114.94545454545454</v>
      </c>
      <c r="AH164" s="38">
        <v>-3.6</v>
      </c>
      <c r="AI164" s="38">
        <f t="shared" si="52"/>
        <v>538.79999999999995</v>
      </c>
      <c r="AJ164" s="38"/>
      <c r="AK164" s="38">
        <f t="shared" si="53"/>
        <v>538.79999999999995</v>
      </c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10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10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10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10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10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10"/>
      <c r="GJ164" s="9"/>
      <c r="GK164" s="9"/>
    </row>
    <row r="165" spans="1:193" s="2" customFormat="1" ht="16.95" customHeight="1">
      <c r="A165" s="14" t="s">
        <v>164</v>
      </c>
      <c r="B165" s="38">
        <v>0</v>
      </c>
      <c r="C165" s="38">
        <v>0</v>
      </c>
      <c r="D165" s="4">
        <f t="shared" si="46"/>
        <v>0</v>
      </c>
      <c r="E165" s="11">
        <v>0</v>
      </c>
      <c r="F165" s="5" t="s">
        <v>371</v>
      </c>
      <c r="G165" s="5" t="s">
        <v>371</v>
      </c>
      <c r="H165" s="5" t="s">
        <v>371</v>
      </c>
      <c r="I165" s="5" t="s">
        <v>371</v>
      </c>
      <c r="J165" s="5" t="s">
        <v>371</v>
      </c>
      <c r="K165" s="5" t="s">
        <v>371</v>
      </c>
      <c r="L165" s="5" t="s">
        <v>371</v>
      </c>
      <c r="M165" s="5" t="s">
        <v>371</v>
      </c>
      <c r="N165" s="38">
        <v>212.3</v>
      </c>
      <c r="O165" s="38">
        <v>183</v>
      </c>
      <c r="P165" s="4">
        <f t="shared" si="47"/>
        <v>0.86198775317946297</v>
      </c>
      <c r="Q165" s="11">
        <v>20</v>
      </c>
      <c r="R165" s="11">
        <v>1</v>
      </c>
      <c r="S165" s="11">
        <v>15</v>
      </c>
      <c r="T165" s="38">
        <v>0</v>
      </c>
      <c r="U165" s="38">
        <v>0</v>
      </c>
      <c r="V165" s="4">
        <f t="shared" si="48"/>
        <v>1</v>
      </c>
      <c r="W165" s="11">
        <v>25</v>
      </c>
      <c r="X165" s="38">
        <v>1</v>
      </c>
      <c r="Y165" s="38">
        <v>3.5</v>
      </c>
      <c r="Z165" s="4">
        <f t="shared" si="49"/>
        <v>3.5</v>
      </c>
      <c r="AA165" s="11">
        <v>25</v>
      </c>
      <c r="AB165" s="50">
        <f t="shared" si="54"/>
        <v>1.7028206478069325</v>
      </c>
      <c r="AC165" s="50">
        <f t="shared" si="55"/>
        <v>1.2502820647806931</v>
      </c>
      <c r="AD165" s="51">
        <v>2147</v>
      </c>
      <c r="AE165" s="38">
        <f t="shared" si="50"/>
        <v>195.18181818181819</v>
      </c>
      <c r="AF165" s="38">
        <f t="shared" si="51"/>
        <v>244</v>
      </c>
      <c r="AG165" s="38">
        <f t="shared" si="45"/>
        <v>48.818181818181813</v>
      </c>
      <c r="AH165" s="38">
        <v>-3.7</v>
      </c>
      <c r="AI165" s="38">
        <f t="shared" si="52"/>
        <v>240.3</v>
      </c>
      <c r="AJ165" s="38"/>
      <c r="AK165" s="38">
        <f t="shared" si="53"/>
        <v>240.3</v>
      </c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10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10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10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10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10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10"/>
      <c r="GJ165" s="9"/>
      <c r="GK165" s="9"/>
    </row>
    <row r="166" spans="1:193" s="2" customFormat="1" ht="16.95" customHeight="1">
      <c r="A166" s="14" t="s">
        <v>165</v>
      </c>
      <c r="B166" s="38">
        <v>17200</v>
      </c>
      <c r="C166" s="38">
        <v>28455.5</v>
      </c>
      <c r="D166" s="4">
        <f t="shared" si="46"/>
        <v>1.654389534883721</v>
      </c>
      <c r="E166" s="11">
        <v>10</v>
      </c>
      <c r="F166" s="5" t="s">
        <v>371</v>
      </c>
      <c r="G166" s="5" t="s">
        <v>371</v>
      </c>
      <c r="H166" s="5" t="s">
        <v>371</v>
      </c>
      <c r="I166" s="5" t="s">
        <v>371</v>
      </c>
      <c r="J166" s="5" t="s">
        <v>371</v>
      </c>
      <c r="K166" s="5" t="s">
        <v>371</v>
      </c>
      <c r="L166" s="5" t="s">
        <v>371</v>
      </c>
      <c r="M166" s="5" t="s">
        <v>371</v>
      </c>
      <c r="N166" s="38">
        <v>1612.3</v>
      </c>
      <c r="O166" s="38">
        <v>657.5</v>
      </c>
      <c r="P166" s="4">
        <f t="shared" si="47"/>
        <v>0.40780251814178503</v>
      </c>
      <c r="Q166" s="11">
        <v>20</v>
      </c>
      <c r="R166" s="11">
        <v>1</v>
      </c>
      <c r="S166" s="11">
        <v>15</v>
      </c>
      <c r="T166" s="38">
        <v>0</v>
      </c>
      <c r="U166" s="38">
        <v>0</v>
      </c>
      <c r="V166" s="4">
        <f t="shared" si="48"/>
        <v>1</v>
      </c>
      <c r="W166" s="11">
        <v>35</v>
      </c>
      <c r="X166" s="38">
        <v>0</v>
      </c>
      <c r="Y166" s="38">
        <v>0</v>
      </c>
      <c r="Z166" s="4">
        <f t="shared" si="49"/>
        <v>1</v>
      </c>
      <c r="AA166" s="11">
        <v>15</v>
      </c>
      <c r="AB166" s="50">
        <f t="shared" si="54"/>
        <v>0.94420995485971482</v>
      </c>
      <c r="AC166" s="50">
        <f t="shared" si="55"/>
        <v>0.94420995485971482</v>
      </c>
      <c r="AD166" s="51">
        <v>4289</v>
      </c>
      <c r="AE166" s="38">
        <f t="shared" si="50"/>
        <v>389.90909090909093</v>
      </c>
      <c r="AF166" s="38">
        <f t="shared" si="51"/>
        <v>368.2</v>
      </c>
      <c r="AG166" s="38">
        <f t="shared" si="45"/>
        <v>-21.709090909090946</v>
      </c>
      <c r="AH166" s="38">
        <v>-1.5</v>
      </c>
      <c r="AI166" s="38">
        <f t="shared" si="52"/>
        <v>366.7</v>
      </c>
      <c r="AJ166" s="38"/>
      <c r="AK166" s="38">
        <f t="shared" si="53"/>
        <v>366.7</v>
      </c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10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10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10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10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10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10"/>
      <c r="GJ166" s="9"/>
      <c r="GK166" s="9"/>
    </row>
    <row r="167" spans="1:193" s="2" customFormat="1" ht="16.95" customHeight="1">
      <c r="A167" s="14" t="s">
        <v>166</v>
      </c>
      <c r="B167" s="38">
        <v>0</v>
      </c>
      <c r="C167" s="38">
        <v>0</v>
      </c>
      <c r="D167" s="4">
        <f t="shared" si="46"/>
        <v>0</v>
      </c>
      <c r="E167" s="11">
        <v>0</v>
      </c>
      <c r="F167" s="5" t="s">
        <v>371</v>
      </c>
      <c r="G167" s="5" t="s">
        <v>371</v>
      </c>
      <c r="H167" s="5" t="s">
        <v>371</v>
      </c>
      <c r="I167" s="5" t="s">
        <v>371</v>
      </c>
      <c r="J167" s="5" t="s">
        <v>371</v>
      </c>
      <c r="K167" s="5" t="s">
        <v>371</v>
      </c>
      <c r="L167" s="5" t="s">
        <v>371</v>
      </c>
      <c r="M167" s="5" t="s">
        <v>371</v>
      </c>
      <c r="N167" s="38">
        <v>178.1</v>
      </c>
      <c r="O167" s="38">
        <v>353.7</v>
      </c>
      <c r="P167" s="4">
        <f t="shared" si="47"/>
        <v>1.9859629421673217</v>
      </c>
      <c r="Q167" s="11">
        <v>20</v>
      </c>
      <c r="R167" s="11">
        <v>1</v>
      </c>
      <c r="S167" s="11">
        <v>15</v>
      </c>
      <c r="T167" s="38">
        <v>0</v>
      </c>
      <c r="U167" s="38">
        <v>0</v>
      </c>
      <c r="V167" s="4">
        <f t="shared" si="48"/>
        <v>1</v>
      </c>
      <c r="W167" s="11">
        <v>15</v>
      </c>
      <c r="X167" s="38">
        <v>0</v>
      </c>
      <c r="Y167" s="38">
        <v>0</v>
      </c>
      <c r="Z167" s="4">
        <f t="shared" si="49"/>
        <v>1</v>
      </c>
      <c r="AA167" s="11">
        <v>35</v>
      </c>
      <c r="AB167" s="50">
        <f t="shared" si="54"/>
        <v>1.231991280509958</v>
      </c>
      <c r="AC167" s="50">
        <f t="shared" si="55"/>
        <v>1.2031991280509957</v>
      </c>
      <c r="AD167" s="51">
        <v>1564</v>
      </c>
      <c r="AE167" s="38">
        <f t="shared" si="50"/>
        <v>142.18181818181819</v>
      </c>
      <c r="AF167" s="38">
        <f t="shared" si="51"/>
        <v>171.1</v>
      </c>
      <c r="AG167" s="38">
        <f t="shared" si="45"/>
        <v>28.918181818181807</v>
      </c>
      <c r="AH167" s="38">
        <v>-1.1000000000000001</v>
      </c>
      <c r="AI167" s="38">
        <f t="shared" si="52"/>
        <v>170</v>
      </c>
      <c r="AJ167" s="38"/>
      <c r="AK167" s="38">
        <f t="shared" si="53"/>
        <v>170</v>
      </c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10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10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10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10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10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10"/>
      <c r="GJ167" s="9"/>
      <c r="GK167" s="9"/>
    </row>
    <row r="168" spans="1:193" s="2" customFormat="1" ht="16.95" customHeight="1">
      <c r="A168" s="14" t="s">
        <v>167</v>
      </c>
      <c r="B168" s="38">
        <v>0</v>
      </c>
      <c r="C168" s="38">
        <v>0</v>
      </c>
      <c r="D168" s="4">
        <f t="shared" si="46"/>
        <v>1</v>
      </c>
      <c r="E168" s="11">
        <v>10</v>
      </c>
      <c r="F168" s="5" t="s">
        <v>371</v>
      </c>
      <c r="G168" s="5" t="s">
        <v>371</v>
      </c>
      <c r="H168" s="5" t="s">
        <v>371</v>
      </c>
      <c r="I168" s="5" t="s">
        <v>371</v>
      </c>
      <c r="J168" s="5" t="s">
        <v>371</v>
      </c>
      <c r="K168" s="5" t="s">
        <v>371</v>
      </c>
      <c r="L168" s="5" t="s">
        <v>371</v>
      </c>
      <c r="M168" s="5" t="s">
        <v>371</v>
      </c>
      <c r="N168" s="38">
        <v>124.6</v>
      </c>
      <c r="O168" s="38">
        <v>570.9</v>
      </c>
      <c r="P168" s="4">
        <f t="shared" si="47"/>
        <v>4.5818619582664528</v>
      </c>
      <c r="Q168" s="11">
        <v>20</v>
      </c>
      <c r="R168" s="11">
        <v>1</v>
      </c>
      <c r="S168" s="11">
        <v>15</v>
      </c>
      <c r="T168" s="38">
        <v>0</v>
      </c>
      <c r="U168" s="38">
        <v>0</v>
      </c>
      <c r="V168" s="4">
        <f t="shared" si="48"/>
        <v>1</v>
      </c>
      <c r="W168" s="11">
        <v>35</v>
      </c>
      <c r="X168" s="38">
        <v>0</v>
      </c>
      <c r="Y168" s="38">
        <v>1.5</v>
      </c>
      <c r="Z168" s="4">
        <f t="shared" si="49"/>
        <v>1</v>
      </c>
      <c r="AA168" s="11">
        <v>15</v>
      </c>
      <c r="AB168" s="50">
        <f t="shared" si="54"/>
        <v>1.7540762017403058</v>
      </c>
      <c r="AC168" s="50">
        <f t="shared" si="55"/>
        <v>1.2554076201740305</v>
      </c>
      <c r="AD168" s="51">
        <v>1173</v>
      </c>
      <c r="AE168" s="38">
        <f t="shared" si="50"/>
        <v>106.63636363636364</v>
      </c>
      <c r="AF168" s="38">
        <f t="shared" si="51"/>
        <v>133.9</v>
      </c>
      <c r="AG168" s="38">
        <f t="shared" si="45"/>
        <v>27.263636363636365</v>
      </c>
      <c r="AH168" s="38">
        <v>-1.2</v>
      </c>
      <c r="AI168" s="38">
        <f t="shared" si="52"/>
        <v>132.70000000000002</v>
      </c>
      <c r="AJ168" s="38"/>
      <c r="AK168" s="38">
        <f t="shared" si="53"/>
        <v>132.69999999999999</v>
      </c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10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10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10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10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10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10"/>
      <c r="GJ168" s="9"/>
      <c r="GK168" s="9"/>
    </row>
    <row r="169" spans="1:193" s="2" customFormat="1" ht="16.95" customHeight="1">
      <c r="A169" s="14" t="s">
        <v>101</v>
      </c>
      <c r="B169" s="38">
        <v>6100</v>
      </c>
      <c r="C169" s="38">
        <v>6573</v>
      </c>
      <c r="D169" s="4">
        <f t="shared" si="46"/>
        <v>1.0775409836065575</v>
      </c>
      <c r="E169" s="11">
        <v>10</v>
      </c>
      <c r="F169" s="5" t="s">
        <v>371</v>
      </c>
      <c r="G169" s="5" t="s">
        <v>371</v>
      </c>
      <c r="H169" s="5" t="s">
        <v>371</v>
      </c>
      <c r="I169" s="5" t="s">
        <v>371</v>
      </c>
      <c r="J169" s="5" t="s">
        <v>371</v>
      </c>
      <c r="K169" s="5" t="s">
        <v>371</v>
      </c>
      <c r="L169" s="5" t="s">
        <v>371</v>
      </c>
      <c r="M169" s="5" t="s">
        <v>371</v>
      </c>
      <c r="N169" s="38">
        <v>198.4</v>
      </c>
      <c r="O169" s="38">
        <v>165.9</v>
      </c>
      <c r="P169" s="4">
        <f t="shared" si="47"/>
        <v>0.83618951612903225</v>
      </c>
      <c r="Q169" s="11">
        <v>20</v>
      </c>
      <c r="R169" s="11">
        <v>1</v>
      </c>
      <c r="S169" s="11">
        <v>15</v>
      </c>
      <c r="T169" s="38">
        <v>0</v>
      </c>
      <c r="U169" s="38">
        <v>0</v>
      </c>
      <c r="V169" s="4">
        <f t="shared" si="48"/>
        <v>1</v>
      </c>
      <c r="W169" s="11">
        <v>25</v>
      </c>
      <c r="X169" s="38">
        <v>0</v>
      </c>
      <c r="Y169" s="38">
        <v>0</v>
      </c>
      <c r="Z169" s="4">
        <f t="shared" si="49"/>
        <v>1</v>
      </c>
      <c r="AA169" s="11">
        <v>25</v>
      </c>
      <c r="AB169" s="50">
        <f t="shared" si="54"/>
        <v>0.97367579114364444</v>
      </c>
      <c r="AC169" s="50">
        <f t="shared" si="55"/>
        <v>0.97367579114364444</v>
      </c>
      <c r="AD169" s="51">
        <v>3498</v>
      </c>
      <c r="AE169" s="38">
        <f t="shared" si="50"/>
        <v>318</v>
      </c>
      <c r="AF169" s="38">
        <f t="shared" si="51"/>
        <v>309.60000000000002</v>
      </c>
      <c r="AG169" s="38">
        <f t="shared" si="45"/>
        <v>-8.3999999999999773</v>
      </c>
      <c r="AH169" s="38">
        <v>-0.9</v>
      </c>
      <c r="AI169" s="38">
        <f t="shared" si="52"/>
        <v>308.70000000000005</v>
      </c>
      <c r="AJ169" s="38"/>
      <c r="AK169" s="38">
        <f t="shared" si="53"/>
        <v>308.7</v>
      </c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10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10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10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10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10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10"/>
      <c r="GJ169" s="9"/>
      <c r="GK169" s="9"/>
    </row>
    <row r="170" spans="1:193" s="2" customFormat="1" ht="16.95" customHeight="1">
      <c r="A170" s="14" t="s">
        <v>168</v>
      </c>
      <c r="B170" s="38">
        <v>142558</v>
      </c>
      <c r="C170" s="38">
        <v>114770</v>
      </c>
      <c r="D170" s="4">
        <f t="shared" si="46"/>
        <v>0.80507582878547679</v>
      </c>
      <c r="E170" s="11">
        <v>10</v>
      </c>
      <c r="F170" s="5" t="s">
        <v>371</v>
      </c>
      <c r="G170" s="5" t="s">
        <v>371</v>
      </c>
      <c r="H170" s="5" t="s">
        <v>371</v>
      </c>
      <c r="I170" s="5" t="s">
        <v>371</v>
      </c>
      <c r="J170" s="5" t="s">
        <v>371</v>
      </c>
      <c r="K170" s="5" t="s">
        <v>371</v>
      </c>
      <c r="L170" s="5" t="s">
        <v>371</v>
      </c>
      <c r="M170" s="5" t="s">
        <v>371</v>
      </c>
      <c r="N170" s="38">
        <v>284.7</v>
      </c>
      <c r="O170" s="38">
        <v>238.2</v>
      </c>
      <c r="P170" s="4">
        <f t="shared" si="47"/>
        <v>0.83667017913593256</v>
      </c>
      <c r="Q170" s="11">
        <v>20</v>
      </c>
      <c r="R170" s="11">
        <v>1</v>
      </c>
      <c r="S170" s="11">
        <v>15</v>
      </c>
      <c r="T170" s="38">
        <v>230</v>
      </c>
      <c r="U170" s="38">
        <v>230.5</v>
      </c>
      <c r="V170" s="4">
        <f t="shared" si="48"/>
        <v>1.0021739130434784</v>
      </c>
      <c r="W170" s="11">
        <v>5</v>
      </c>
      <c r="X170" s="38">
        <v>2050</v>
      </c>
      <c r="Y170" s="38">
        <v>1589.9</v>
      </c>
      <c r="Z170" s="4">
        <f t="shared" si="49"/>
        <v>0.77556097560975612</v>
      </c>
      <c r="AA170" s="11">
        <v>45</v>
      </c>
      <c r="AB170" s="50">
        <f t="shared" si="54"/>
        <v>0.83889763513926141</v>
      </c>
      <c r="AC170" s="50">
        <f t="shared" si="55"/>
        <v>0.83889763513926141</v>
      </c>
      <c r="AD170" s="51">
        <v>3713</v>
      </c>
      <c r="AE170" s="38">
        <f t="shared" si="50"/>
        <v>337.54545454545456</v>
      </c>
      <c r="AF170" s="38">
        <f t="shared" si="51"/>
        <v>283.2</v>
      </c>
      <c r="AG170" s="38">
        <f t="shared" si="45"/>
        <v>-54.345454545454572</v>
      </c>
      <c r="AH170" s="38">
        <v>-1.6</v>
      </c>
      <c r="AI170" s="38">
        <f t="shared" si="52"/>
        <v>281.59999999999997</v>
      </c>
      <c r="AJ170" s="38"/>
      <c r="AK170" s="38">
        <f t="shared" si="53"/>
        <v>281.60000000000002</v>
      </c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10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10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10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10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10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10"/>
      <c r="GJ170" s="9"/>
      <c r="GK170" s="9"/>
    </row>
    <row r="171" spans="1:193" s="2" customFormat="1" ht="16.95" customHeight="1">
      <c r="A171" s="14" t="s">
        <v>169</v>
      </c>
      <c r="B171" s="38">
        <v>11600</v>
      </c>
      <c r="C171" s="38">
        <v>13700.6</v>
      </c>
      <c r="D171" s="4">
        <f t="shared" si="46"/>
        <v>1.1810862068965517</v>
      </c>
      <c r="E171" s="11">
        <v>10</v>
      </c>
      <c r="F171" s="5" t="s">
        <v>371</v>
      </c>
      <c r="G171" s="5" t="s">
        <v>371</v>
      </c>
      <c r="H171" s="5" t="s">
        <v>371</v>
      </c>
      <c r="I171" s="5" t="s">
        <v>371</v>
      </c>
      <c r="J171" s="5" t="s">
        <v>371</v>
      </c>
      <c r="K171" s="5" t="s">
        <v>371</v>
      </c>
      <c r="L171" s="5" t="s">
        <v>371</v>
      </c>
      <c r="M171" s="5" t="s">
        <v>371</v>
      </c>
      <c r="N171" s="38">
        <v>332.7</v>
      </c>
      <c r="O171" s="38">
        <v>314.39999999999998</v>
      </c>
      <c r="P171" s="4">
        <f t="shared" si="47"/>
        <v>0.94499549143372408</v>
      </c>
      <c r="Q171" s="11">
        <v>20</v>
      </c>
      <c r="R171" s="11">
        <v>1</v>
      </c>
      <c r="S171" s="11">
        <v>15</v>
      </c>
      <c r="T171" s="38">
        <v>61</v>
      </c>
      <c r="U171" s="38">
        <v>65.099999999999994</v>
      </c>
      <c r="V171" s="4">
        <f t="shared" si="48"/>
        <v>1.0672131147540982</v>
      </c>
      <c r="W171" s="11">
        <v>45</v>
      </c>
      <c r="X171" s="38">
        <v>1</v>
      </c>
      <c r="Y171" s="38">
        <v>1.2</v>
      </c>
      <c r="Z171" s="4">
        <f t="shared" si="49"/>
        <v>1.2</v>
      </c>
      <c r="AA171" s="11">
        <v>5</v>
      </c>
      <c r="AB171" s="50">
        <f t="shared" si="54"/>
        <v>1.0498459164376255</v>
      </c>
      <c r="AC171" s="50">
        <f t="shared" si="55"/>
        <v>1.0498459164376255</v>
      </c>
      <c r="AD171" s="51">
        <v>6620</v>
      </c>
      <c r="AE171" s="38">
        <f t="shared" si="50"/>
        <v>601.81818181818187</v>
      </c>
      <c r="AF171" s="38">
        <f t="shared" si="51"/>
        <v>631.79999999999995</v>
      </c>
      <c r="AG171" s="38">
        <f t="shared" si="45"/>
        <v>29.981818181818085</v>
      </c>
      <c r="AH171" s="38">
        <v>-27.4</v>
      </c>
      <c r="AI171" s="38">
        <f t="shared" si="52"/>
        <v>604.4</v>
      </c>
      <c r="AJ171" s="38"/>
      <c r="AK171" s="38">
        <f t="shared" si="53"/>
        <v>604.4</v>
      </c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10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10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10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10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10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10"/>
      <c r="GJ171" s="9"/>
      <c r="GK171" s="9"/>
    </row>
    <row r="172" spans="1:193" s="2" customFormat="1" ht="16.95" customHeight="1">
      <c r="A172" s="14" t="s">
        <v>170</v>
      </c>
      <c r="B172" s="38">
        <v>2200</v>
      </c>
      <c r="C172" s="38">
        <v>997.2</v>
      </c>
      <c r="D172" s="4">
        <f t="shared" si="46"/>
        <v>0.45327272727272727</v>
      </c>
      <c r="E172" s="11">
        <v>10</v>
      </c>
      <c r="F172" s="5" t="s">
        <v>371</v>
      </c>
      <c r="G172" s="5" t="s">
        <v>371</v>
      </c>
      <c r="H172" s="5" t="s">
        <v>371</v>
      </c>
      <c r="I172" s="5" t="s">
        <v>371</v>
      </c>
      <c r="J172" s="5" t="s">
        <v>371</v>
      </c>
      <c r="K172" s="5" t="s">
        <v>371</v>
      </c>
      <c r="L172" s="5" t="s">
        <v>371</v>
      </c>
      <c r="M172" s="5" t="s">
        <v>371</v>
      </c>
      <c r="N172" s="38">
        <v>378</v>
      </c>
      <c r="O172" s="38">
        <v>418.2</v>
      </c>
      <c r="P172" s="4">
        <f t="shared" si="47"/>
        <v>1.1063492063492064</v>
      </c>
      <c r="Q172" s="11">
        <v>20</v>
      </c>
      <c r="R172" s="11">
        <v>1</v>
      </c>
      <c r="S172" s="11">
        <v>15</v>
      </c>
      <c r="T172" s="38">
        <v>0</v>
      </c>
      <c r="U172" s="38">
        <v>0</v>
      </c>
      <c r="V172" s="4">
        <f t="shared" si="48"/>
        <v>1</v>
      </c>
      <c r="W172" s="11">
        <v>45</v>
      </c>
      <c r="X172" s="38">
        <v>0</v>
      </c>
      <c r="Y172" s="38">
        <v>0</v>
      </c>
      <c r="Z172" s="4">
        <f t="shared" si="49"/>
        <v>1</v>
      </c>
      <c r="AA172" s="11">
        <v>5</v>
      </c>
      <c r="AB172" s="50">
        <f t="shared" si="54"/>
        <v>0.96483906736538316</v>
      </c>
      <c r="AC172" s="50">
        <f t="shared" si="55"/>
        <v>0.96483906736538316</v>
      </c>
      <c r="AD172" s="51">
        <v>2373</v>
      </c>
      <c r="AE172" s="38">
        <f t="shared" si="50"/>
        <v>215.72727272727272</v>
      </c>
      <c r="AF172" s="38">
        <f t="shared" si="51"/>
        <v>208.1</v>
      </c>
      <c r="AG172" s="38">
        <f t="shared" si="45"/>
        <v>-7.6272727272727252</v>
      </c>
      <c r="AH172" s="38">
        <v>4.0999999999999996</v>
      </c>
      <c r="AI172" s="38">
        <f t="shared" si="52"/>
        <v>212.2</v>
      </c>
      <c r="AJ172" s="38"/>
      <c r="AK172" s="38">
        <f t="shared" si="53"/>
        <v>212.2</v>
      </c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10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10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10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10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10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10"/>
      <c r="GJ172" s="9"/>
      <c r="GK172" s="9"/>
    </row>
    <row r="173" spans="1:193" s="2" customFormat="1" ht="16.95" customHeight="1">
      <c r="A173" s="19" t="s">
        <v>171</v>
      </c>
      <c r="B173" s="7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10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10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10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10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10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10"/>
      <c r="GJ173" s="9"/>
      <c r="GK173" s="9"/>
    </row>
    <row r="174" spans="1:193" s="2" customFormat="1" ht="16.95" customHeight="1">
      <c r="A174" s="14" t="s">
        <v>172</v>
      </c>
      <c r="B174" s="38">
        <v>0</v>
      </c>
      <c r="C174" s="38">
        <v>0</v>
      </c>
      <c r="D174" s="4">
        <f t="shared" si="46"/>
        <v>0</v>
      </c>
      <c r="E174" s="11">
        <v>0</v>
      </c>
      <c r="F174" s="5" t="s">
        <v>371</v>
      </c>
      <c r="G174" s="5" t="s">
        <v>371</v>
      </c>
      <c r="H174" s="5" t="s">
        <v>371</v>
      </c>
      <c r="I174" s="5" t="s">
        <v>371</v>
      </c>
      <c r="J174" s="5" t="s">
        <v>371</v>
      </c>
      <c r="K174" s="5" t="s">
        <v>371</v>
      </c>
      <c r="L174" s="5" t="s">
        <v>371</v>
      </c>
      <c r="M174" s="5" t="s">
        <v>371</v>
      </c>
      <c r="N174" s="38">
        <v>140.80000000000001</v>
      </c>
      <c r="O174" s="38">
        <v>56.6</v>
      </c>
      <c r="P174" s="4">
        <f t="shared" si="47"/>
        <v>0.40198863636363635</v>
      </c>
      <c r="Q174" s="11">
        <v>20</v>
      </c>
      <c r="R174" s="11">
        <v>1</v>
      </c>
      <c r="S174" s="11">
        <v>15</v>
      </c>
      <c r="T174" s="38">
        <v>130.80000000000001</v>
      </c>
      <c r="U174" s="38">
        <v>90.7</v>
      </c>
      <c r="V174" s="4">
        <f t="shared" si="48"/>
        <v>0.69342507645259932</v>
      </c>
      <c r="W174" s="11">
        <v>35</v>
      </c>
      <c r="X174" s="38">
        <v>1</v>
      </c>
      <c r="Y174" s="38">
        <v>0.3</v>
      </c>
      <c r="Z174" s="4">
        <f t="shared" si="49"/>
        <v>0.3</v>
      </c>
      <c r="AA174" s="11">
        <v>15</v>
      </c>
      <c r="AB174" s="50">
        <f t="shared" si="54"/>
        <v>0.60952529886016127</v>
      </c>
      <c r="AC174" s="50">
        <f t="shared" si="55"/>
        <v>0.60952529886016127</v>
      </c>
      <c r="AD174" s="51">
        <v>1734</v>
      </c>
      <c r="AE174" s="38">
        <f t="shared" si="50"/>
        <v>157.63636363636363</v>
      </c>
      <c r="AF174" s="38">
        <f t="shared" si="51"/>
        <v>96.1</v>
      </c>
      <c r="AG174" s="38">
        <f t="shared" ref="AG174:AG237" si="56">AF174-AE174</f>
        <v>-61.536363636363632</v>
      </c>
      <c r="AH174" s="38">
        <v>0.2</v>
      </c>
      <c r="AI174" s="38">
        <f t="shared" si="52"/>
        <v>96.3</v>
      </c>
      <c r="AJ174" s="38"/>
      <c r="AK174" s="38">
        <f t="shared" si="53"/>
        <v>96.3</v>
      </c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10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10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10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10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10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10"/>
      <c r="GJ174" s="9"/>
      <c r="GK174" s="9"/>
    </row>
    <row r="175" spans="1:193" s="2" customFormat="1" ht="16.95" customHeight="1">
      <c r="A175" s="14" t="s">
        <v>173</v>
      </c>
      <c r="B175" s="38">
        <v>23152</v>
      </c>
      <c r="C175" s="38">
        <v>24175.9</v>
      </c>
      <c r="D175" s="4">
        <f t="shared" ref="D175:D238" si="57">IF(E175=0,0,IF(B175=0,1,IF(C175&lt;0,0,C175/B175)))</f>
        <v>1.0442251209398756</v>
      </c>
      <c r="E175" s="11">
        <v>10</v>
      </c>
      <c r="F175" s="5" t="s">
        <v>371</v>
      </c>
      <c r="G175" s="5" t="s">
        <v>371</v>
      </c>
      <c r="H175" s="5" t="s">
        <v>371</v>
      </c>
      <c r="I175" s="5" t="s">
        <v>371</v>
      </c>
      <c r="J175" s="5" t="s">
        <v>371</v>
      </c>
      <c r="K175" s="5" t="s">
        <v>371</v>
      </c>
      <c r="L175" s="5" t="s">
        <v>371</v>
      </c>
      <c r="M175" s="5" t="s">
        <v>371</v>
      </c>
      <c r="N175" s="38">
        <v>1182.7</v>
      </c>
      <c r="O175" s="38">
        <v>2249.6999999999998</v>
      </c>
      <c r="P175" s="4">
        <f t="shared" ref="P175:P238" si="58">IF(Q175=0,0,IF(N175=0,1,IF(O175&lt;0,0,O175/N175)))</f>
        <v>1.9021729939967869</v>
      </c>
      <c r="Q175" s="11">
        <v>20</v>
      </c>
      <c r="R175" s="11">
        <v>1</v>
      </c>
      <c r="S175" s="11">
        <v>15</v>
      </c>
      <c r="T175" s="38">
        <v>57</v>
      </c>
      <c r="U175" s="38">
        <v>74.2</v>
      </c>
      <c r="V175" s="4">
        <f t="shared" ref="V175:V238" si="59">IF(W175=0,0,IF(T175=0,1,IF(U175&lt;0,0,U175/T175)))</f>
        <v>1.3017543859649123</v>
      </c>
      <c r="W175" s="11">
        <v>25</v>
      </c>
      <c r="X175" s="38">
        <v>1.5</v>
      </c>
      <c r="Y175" s="38">
        <v>1.6</v>
      </c>
      <c r="Z175" s="4">
        <f t="shared" ref="Z175:Z238" si="60">IF(AA175=0,0,IF(X175=0,1,IF(Y175&lt;0,0,Y175/X175)))</f>
        <v>1.0666666666666667</v>
      </c>
      <c r="AA175" s="11">
        <v>25</v>
      </c>
      <c r="AB175" s="50">
        <f t="shared" si="54"/>
        <v>1.2915393411065681</v>
      </c>
      <c r="AC175" s="50">
        <f t="shared" si="55"/>
        <v>1.2091539341106567</v>
      </c>
      <c r="AD175" s="51">
        <v>2437</v>
      </c>
      <c r="AE175" s="38">
        <f t="shared" ref="AE175:AE238" si="61">AD175/11</f>
        <v>221.54545454545453</v>
      </c>
      <c r="AF175" s="38">
        <f t="shared" ref="AF175:AF238" si="62">ROUND(AC175*AE175,1)</f>
        <v>267.89999999999998</v>
      </c>
      <c r="AG175" s="38">
        <f t="shared" si="56"/>
        <v>46.354545454545445</v>
      </c>
      <c r="AH175" s="38">
        <v>-7</v>
      </c>
      <c r="AI175" s="38">
        <f t="shared" ref="AI175:AI238" si="63">AF175+AH175</f>
        <v>260.89999999999998</v>
      </c>
      <c r="AJ175" s="38"/>
      <c r="AK175" s="38">
        <f t="shared" ref="AK175:AK238" si="64">IF((AI175-AJ175)&gt;0,ROUND(AI175-AJ175,1),0)</f>
        <v>260.89999999999998</v>
      </c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10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10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10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10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10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10"/>
      <c r="GJ175" s="9"/>
      <c r="GK175" s="9"/>
    </row>
    <row r="176" spans="1:193" s="2" customFormat="1" ht="16.95" customHeight="1">
      <c r="A176" s="14" t="s">
        <v>174</v>
      </c>
      <c r="B176" s="38">
        <v>0</v>
      </c>
      <c r="C176" s="38">
        <v>0</v>
      </c>
      <c r="D176" s="4">
        <f t="shared" si="57"/>
        <v>0</v>
      </c>
      <c r="E176" s="11">
        <v>0</v>
      </c>
      <c r="F176" s="5" t="s">
        <v>371</v>
      </c>
      <c r="G176" s="5" t="s">
        <v>371</v>
      </c>
      <c r="H176" s="5" t="s">
        <v>371</v>
      </c>
      <c r="I176" s="5" t="s">
        <v>371</v>
      </c>
      <c r="J176" s="5" t="s">
        <v>371</v>
      </c>
      <c r="K176" s="5" t="s">
        <v>371</v>
      </c>
      <c r="L176" s="5" t="s">
        <v>371</v>
      </c>
      <c r="M176" s="5" t="s">
        <v>371</v>
      </c>
      <c r="N176" s="38">
        <v>12.3</v>
      </c>
      <c r="O176" s="38">
        <v>39.6</v>
      </c>
      <c r="P176" s="4">
        <f t="shared" si="58"/>
        <v>3.219512195121951</v>
      </c>
      <c r="Q176" s="11">
        <v>20</v>
      </c>
      <c r="R176" s="11">
        <v>1</v>
      </c>
      <c r="S176" s="11">
        <v>15</v>
      </c>
      <c r="T176" s="38">
        <v>0</v>
      </c>
      <c r="U176" s="38">
        <v>0</v>
      </c>
      <c r="V176" s="4">
        <f t="shared" si="59"/>
        <v>1</v>
      </c>
      <c r="W176" s="11">
        <v>20</v>
      </c>
      <c r="X176" s="38">
        <v>0</v>
      </c>
      <c r="Y176" s="38">
        <v>0.3</v>
      </c>
      <c r="Z176" s="4">
        <f t="shared" si="60"/>
        <v>1</v>
      </c>
      <c r="AA176" s="11">
        <v>30</v>
      </c>
      <c r="AB176" s="50">
        <f t="shared" ref="AB176:AB239" si="65">(D176*E176+P176*Q176+R176*S176+V176*W176+Z176*AA176)/(E176+Q176+S176+W176+AA176)</f>
        <v>1.5222381635581059</v>
      </c>
      <c r="AC176" s="50">
        <f t="shared" ref="AC176:AC239" si="66">IF(AB176&gt;1.2,IF((AB176-1.2)*0.1+1.2&gt;1.3,1.3,(AB176-1.2)*0.1+1.2),AB176)</f>
        <v>1.2322238163558106</v>
      </c>
      <c r="AD176" s="51">
        <v>626</v>
      </c>
      <c r="AE176" s="38">
        <f t="shared" si="61"/>
        <v>56.909090909090907</v>
      </c>
      <c r="AF176" s="38">
        <f t="shared" si="62"/>
        <v>70.099999999999994</v>
      </c>
      <c r="AG176" s="38">
        <f t="shared" si="56"/>
        <v>13.190909090909088</v>
      </c>
      <c r="AH176" s="38">
        <v>3.8</v>
      </c>
      <c r="AI176" s="38">
        <f t="shared" si="63"/>
        <v>73.899999999999991</v>
      </c>
      <c r="AJ176" s="38">
        <f>MIN($AI176,1.8)</f>
        <v>1.8</v>
      </c>
      <c r="AK176" s="38">
        <f t="shared" si="64"/>
        <v>72.099999999999994</v>
      </c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10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10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10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10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10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10"/>
      <c r="GJ176" s="9"/>
      <c r="GK176" s="9"/>
    </row>
    <row r="177" spans="1:193" s="2" customFormat="1" ht="16.95" customHeight="1">
      <c r="A177" s="14" t="s">
        <v>175</v>
      </c>
      <c r="B177" s="38">
        <v>0</v>
      </c>
      <c r="C177" s="38">
        <v>0</v>
      </c>
      <c r="D177" s="4">
        <f t="shared" si="57"/>
        <v>0</v>
      </c>
      <c r="E177" s="11">
        <v>0</v>
      </c>
      <c r="F177" s="5" t="s">
        <v>371</v>
      </c>
      <c r="G177" s="5" t="s">
        <v>371</v>
      </c>
      <c r="H177" s="5" t="s">
        <v>371</v>
      </c>
      <c r="I177" s="5" t="s">
        <v>371</v>
      </c>
      <c r="J177" s="5" t="s">
        <v>371</v>
      </c>
      <c r="K177" s="5" t="s">
        <v>371</v>
      </c>
      <c r="L177" s="5" t="s">
        <v>371</v>
      </c>
      <c r="M177" s="5" t="s">
        <v>371</v>
      </c>
      <c r="N177" s="38">
        <v>55.2</v>
      </c>
      <c r="O177" s="38">
        <v>65.900000000000006</v>
      </c>
      <c r="P177" s="4">
        <f t="shared" si="58"/>
        <v>1.193840579710145</v>
      </c>
      <c r="Q177" s="11">
        <v>20</v>
      </c>
      <c r="R177" s="11">
        <v>1</v>
      </c>
      <c r="S177" s="11">
        <v>15</v>
      </c>
      <c r="T177" s="38">
        <v>0</v>
      </c>
      <c r="U177" s="38">
        <v>0</v>
      </c>
      <c r="V177" s="4">
        <f t="shared" si="59"/>
        <v>1</v>
      </c>
      <c r="W177" s="11">
        <v>25</v>
      </c>
      <c r="X177" s="38">
        <v>0.2</v>
      </c>
      <c r="Y177" s="38">
        <v>1.4</v>
      </c>
      <c r="Z177" s="4">
        <f t="shared" si="60"/>
        <v>6.9999999999999991</v>
      </c>
      <c r="AA177" s="11">
        <v>25</v>
      </c>
      <c r="AB177" s="50">
        <f t="shared" si="65"/>
        <v>2.810315430520034</v>
      </c>
      <c r="AC177" s="50">
        <f t="shared" si="66"/>
        <v>1.3</v>
      </c>
      <c r="AD177" s="51">
        <v>775</v>
      </c>
      <c r="AE177" s="38">
        <f t="shared" si="61"/>
        <v>70.454545454545453</v>
      </c>
      <c r="AF177" s="38">
        <f t="shared" si="62"/>
        <v>91.6</v>
      </c>
      <c r="AG177" s="38">
        <f t="shared" si="56"/>
        <v>21.145454545454541</v>
      </c>
      <c r="AH177" s="38">
        <v>-13.2</v>
      </c>
      <c r="AI177" s="38">
        <f t="shared" si="63"/>
        <v>78.399999999999991</v>
      </c>
      <c r="AJ177" s="38">
        <v>-0.3</v>
      </c>
      <c r="AK177" s="38">
        <f t="shared" si="64"/>
        <v>78.7</v>
      </c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10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10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10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10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10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10"/>
      <c r="GJ177" s="9"/>
      <c r="GK177" s="9"/>
    </row>
    <row r="178" spans="1:193" s="2" customFormat="1" ht="16.95" customHeight="1">
      <c r="A178" s="14" t="s">
        <v>176</v>
      </c>
      <c r="B178" s="38">
        <v>0</v>
      </c>
      <c r="C178" s="38">
        <v>0</v>
      </c>
      <c r="D178" s="4">
        <f t="shared" si="57"/>
        <v>0</v>
      </c>
      <c r="E178" s="11">
        <v>0</v>
      </c>
      <c r="F178" s="5" t="s">
        <v>371</v>
      </c>
      <c r="G178" s="5" t="s">
        <v>371</v>
      </c>
      <c r="H178" s="5" t="s">
        <v>371</v>
      </c>
      <c r="I178" s="5" t="s">
        <v>371</v>
      </c>
      <c r="J178" s="5" t="s">
        <v>371</v>
      </c>
      <c r="K178" s="5" t="s">
        <v>371</v>
      </c>
      <c r="L178" s="5" t="s">
        <v>371</v>
      </c>
      <c r="M178" s="5" t="s">
        <v>371</v>
      </c>
      <c r="N178" s="38">
        <v>41.9</v>
      </c>
      <c r="O178" s="38">
        <v>43.6</v>
      </c>
      <c r="P178" s="4">
        <f t="shared" si="58"/>
        <v>1.0405727923627686</v>
      </c>
      <c r="Q178" s="11">
        <v>20</v>
      </c>
      <c r="R178" s="11">
        <v>1</v>
      </c>
      <c r="S178" s="11">
        <v>15</v>
      </c>
      <c r="T178" s="38">
        <v>0</v>
      </c>
      <c r="U178" s="38">
        <v>0</v>
      </c>
      <c r="V178" s="4">
        <f t="shared" si="59"/>
        <v>1</v>
      </c>
      <c r="W178" s="11">
        <v>20</v>
      </c>
      <c r="X178" s="38">
        <v>0</v>
      </c>
      <c r="Y178" s="38">
        <v>0</v>
      </c>
      <c r="Z178" s="4">
        <f t="shared" si="60"/>
        <v>1</v>
      </c>
      <c r="AA178" s="11">
        <v>30</v>
      </c>
      <c r="AB178" s="50">
        <f t="shared" si="65"/>
        <v>1.0095465393794749</v>
      </c>
      <c r="AC178" s="50">
        <f t="shared" si="66"/>
        <v>1.0095465393794749</v>
      </c>
      <c r="AD178" s="51">
        <v>805</v>
      </c>
      <c r="AE178" s="38">
        <f t="shared" si="61"/>
        <v>73.181818181818187</v>
      </c>
      <c r="AF178" s="38">
        <f t="shared" si="62"/>
        <v>73.900000000000006</v>
      </c>
      <c r="AG178" s="38">
        <f t="shared" si="56"/>
        <v>0.7181818181818187</v>
      </c>
      <c r="AH178" s="38">
        <v>-2.8</v>
      </c>
      <c r="AI178" s="38">
        <f t="shared" si="63"/>
        <v>71.100000000000009</v>
      </c>
      <c r="AJ178" s="38"/>
      <c r="AK178" s="38">
        <f t="shared" si="64"/>
        <v>71.099999999999994</v>
      </c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10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10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10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10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10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10"/>
      <c r="GJ178" s="9"/>
      <c r="GK178" s="9"/>
    </row>
    <row r="179" spans="1:193" s="2" customFormat="1" ht="16.95" customHeight="1">
      <c r="A179" s="14" t="s">
        <v>177</v>
      </c>
      <c r="B179" s="38">
        <v>0</v>
      </c>
      <c r="C179" s="38">
        <v>0</v>
      </c>
      <c r="D179" s="4">
        <f t="shared" si="57"/>
        <v>0</v>
      </c>
      <c r="E179" s="11">
        <v>0</v>
      </c>
      <c r="F179" s="5" t="s">
        <v>371</v>
      </c>
      <c r="G179" s="5" t="s">
        <v>371</v>
      </c>
      <c r="H179" s="5" t="s">
        <v>371</v>
      </c>
      <c r="I179" s="5" t="s">
        <v>371</v>
      </c>
      <c r="J179" s="5" t="s">
        <v>371</v>
      </c>
      <c r="K179" s="5" t="s">
        <v>371</v>
      </c>
      <c r="L179" s="5" t="s">
        <v>371</v>
      </c>
      <c r="M179" s="5" t="s">
        <v>371</v>
      </c>
      <c r="N179" s="38">
        <v>161.19999999999999</v>
      </c>
      <c r="O179" s="38">
        <v>100.5</v>
      </c>
      <c r="P179" s="4">
        <f t="shared" si="58"/>
        <v>0.62344913151364767</v>
      </c>
      <c r="Q179" s="11">
        <v>20</v>
      </c>
      <c r="R179" s="11">
        <v>1</v>
      </c>
      <c r="S179" s="11">
        <v>15</v>
      </c>
      <c r="T179" s="38">
        <v>95</v>
      </c>
      <c r="U179" s="38">
        <v>89.5</v>
      </c>
      <c r="V179" s="4">
        <f t="shared" si="59"/>
        <v>0.94210526315789478</v>
      </c>
      <c r="W179" s="11">
        <v>35</v>
      </c>
      <c r="X179" s="38">
        <v>1</v>
      </c>
      <c r="Y179" s="38">
        <v>0</v>
      </c>
      <c r="Z179" s="4">
        <f t="shared" si="60"/>
        <v>0</v>
      </c>
      <c r="AA179" s="11">
        <v>15</v>
      </c>
      <c r="AB179" s="50">
        <f t="shared" si="65"/>
        <v>0.71109019812705021</v>
      </c>
      <c r="AC179" s="50">
        <f t="shared" si="66"/>
        <v>0.71109019812705021</v>
      </c>
      <c r="AD179" s="51">
        <v>1091</v>
      </c>
      <c r="AE179" s="38">
        <f t="shared" si="61"/>
        <v>99.181818181818187</v>
      </c>
      <c r="AF179" s="38">
        <f t="shared" si="62"/>
        <v>70.5</v>
      </c>
      <c r="AG179" s="38">
        <f t="shared" si="56"/>
        <v>-28.681818181818187</v>
      </c>
      <c r="AH179" s="38">
        <v>0</v>
      </c>
      <c r="AI179" s="38">
        <f t="shared" si="63"/>
        <v>70.5</v>
      </c>
      <c r="AJ179" s="38"/>
      <c r="AK179" s="38">
        <f t="shared" si="64"/>
        <v>70.5</v>
      </c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10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10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10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10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10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10"/>
      <c r="GJ179" s="9"/>
      <c r="GK179" s="9"/>
    </row>
    <row r="180" spans="1:193" s="2" customFormat="1" ht="16.95" customHeight="1">
      <c r="A180" s="14" t="s">
        <v>178</v>
      </c>
      <c r="B180" s="38">
        <v>0</v>
      </c>
      <c r="C180" s="38">
        <v>0</v>
      </c>
      <c r="D180" s="4">
        <f t="shared" si="57"/>
        <v>0</v>
      </c>
      <c r="E180" s="11">
        <v>0</v>
      </c>
      <c r="F180" s="5" t="s">
        <v>371</v>
      </c>
      <c r="G180" s="5" t="s">
        <v>371</v>
      </c>
      <c r="H180" s="5" t="s">
        <v>371</v>
      </c>
      <c r="I180" s="5" t="s">
        <v>371</v>
      </c>
      <c r="J180" s="5" t="s">
        <v>371</v>
      </c>
      <c r="K180" s="5" t="s">
        <v>371</v>
      </c>
      <c r="L180" s="5" t="s">
        <v>371</v>
      </c>
      <c r="M180" s="5" t="s">
        <v>371</v>
      </c>
      <c r="N180" s="38">
        <v>12.2</v>
      </c>
      <c r="O180" s="38">
        <v>45.2</v>
      </c>
      <c r="P180" s="4">
        <f t="shared" si="58"/>
        <v>3.7049180327868858</v>
      </c>
      <c r="Q180" s="11">
        <v>20</v>
      </c>
      <c r="R180" s="11">
        <v>1</v>
      </c>
      <c r="S180" s="11">
        <v>15</v>
      </c>
      <c r="T180" s="38">
        <v>0</v>
      </c>
      <c r="U180" s="38">
        <v>0</v>
      </c>
      <c r="V180" s="4">
        <f t="shared" si="59"/>
        <v>1</v>
      </c>
      <c r="W180" s="11">
        <v>20</v>
      </c>
      <c r="X180" s="38">
        <v>0</v>
      </c>
      <c r="Y180" s="38">
        <v>0.2</v>
      </c>
      <c r="Z180" s="4">
        <f t="shared" si="60"/>
        <v>1</v>
      </c>
      <c r="AA180" s="11">
        <v>30</v>
      </c>
      <c r="AB180" s="50">
        <f t="shared" si="65"/>
        <v>1.6364513018322087</v>
      </c>
      <c r="AC180" s="50">
        <f t="shared" si="66"/>
        <v>1.2436451301832208</v>
      </c>
      <c r="AD180" s="51">
        <v>460</v>
      </c>
      <c r="AE180" s="38">
        <f t="shared" si="61"/>
        <v>41.81818181818182</v>
      </c>
      <c r="AF180" s="38">
        <f t="shared" si="62"/>
        <v>52</v>
      </c>
      <c r="AG180" s="38">
        <f t="shared" si="56"/>
        <v>10.18181818181818</v>
      </c>
      <c r="AH180" s="38">
        <v>-1.1000000000000001</v>
      </c>
      <c r="AI180" s="38">
        <f t="shared" si="63"/>
        <v>50.9</v>
      </c>
      <c r="AJ180" s="38"/>
      <c r="AK180" s="38">
        <f t="shared" si="64"/>
        <v>50.9</v>
      </c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10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10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10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10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10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10"/>
      <c r="GJ180" s="9"/>
      <c r="GK180" s="9"/>
    </row>
    <row r="181" spans="1:193" s="2" customFormat="1" ht="16.95" customHeight="1">
      <c r="A181" s="14" t="s">
        <v>179</v>
      </c>
      <c r="B181" s="38">
        <v>0</v>
      </c>
      <c r="C181" s="38">
        <v>0</v>
      </c>
      <c r="D181" s="4">
        <f t="shared" si="57"/>
        <v>0</v>
      </c>
      <c r="E181" s="11">
        <v>0</v>
      </c>
      <c r="F181" s="5" t="s">
        <v>371</v>
      </c>
      <c r="G181" s="5" t="s">
        <v>371</v>
      </c>
      <c r="H181" s="5" t="s">
        <v>371</v>
      </c>
      <c r="I181" s="5" t="s">
        <v>371</v>
      </c>
      <c r="J181" s="5" t="s">
        <v>371</v>
      </c>
      <c r="K181" s="5" t="s">
        <v>371</v>
      </c>
      <c r="L181" s="5" t="s">
        <v>371</v>
      </c>
      <c r="M181" s="5" t="s">
        <v>371</v>
      </c>
      <c r="N181" s="38">
        <v>65.900000000000006</v>
      </c>
      <c r="O181" s="38">
        <v>5.6</v>
      </c>
      <c r="P181" s="4">
        <f t="shared" si="58"/>
        <v>8.4977238239757197E-2</v>
      </c>
      <c r="Q181" s="11">
        <v>20</v>
      </c>
      <c r="R181" s="11">
        <v>1</v>
      </c>
      <c r="S181" s="11">
        <v>15</v>
      </c>
      <c r="T181" s="38">
        <v>0</v>
      </c>
      <c r="U181" s="38">
        <v>0</v>
      </c>
      <c r="V181" s="4">
        <f t="shared" si="59"/>
        <v>1</v>
      </c>
      <c r="W181" s="11">
        <v>20</v>
      </c>
      <c r="X181" s="38">
        <v>0</v>
      </c>
      <c r="Y181" s="38">
        <v>0.4</v>
      </c>
      <c r="Z181" s="4">
        <f t="shared" si="60"/>
        <v>1</v>
      </c>
      <c r="AA181" s="11">
        <v>30</v>
      </c>
      <c r="AB181" s="50">
        <f t="shared" si="65"/>
        <v>0.78470052664464884</v>
      </c>
      <c r="AC181" s="50">
        <f t="shared" si="66"/>
        <v>0.78470052664464884</v>
      </c>
      <c r="AD181" s="51">
        <v>144</v>
      </c>
      <c r="AE181" s="38">
        <f t="shared" si="61"/>
        <v>13.090909090909092</v>
      </c>
      <c r="AF181" s="38">
        <f t="shared" si="62"/>
        <v>10.3</v>
      </c>
      <c r="AG181" s="38">
        <f t="shared" si="56"/>
        <v>-2.790909090909091</v>
      </c>
      <c r="AH181" s="38">
        <v>2</v>
      </c>
      <c r="AI181" s="38">
        <f t="shared" si="63"/>
        <v>12.3</v>
      </c>
      <c r="AJ181" s="38"/>
      <c r="AK181" s="38">
        <f t="shared" si="64"/>
        <v>12.3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10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10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10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10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10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10"/>
      <c r="GJ181" s="9"/>
      <c r="GK181" s="9"/>
    </row>
    <row r="182" spans="1:193" s="2" customFormat="1" ht="16.95" customHeight="1">
      <c r="A182" s="14" t="s">
        <v>180</v>
      </c>
      <c r="B182" s="38">
        <v>0</v>
      </c>
      <c r="C182" s="38">
        <v>0</v>
      </c>
      <c r="D182" s="4">
        <f t="shared" si="57"/>
        <v>0</v>
      </c>
      <c r="E182" s="11">
        <v>0</v>
      </c>
      <c r="F182" s="5" t="s">
        <v>371</v>
      </c>
      <c r="G182" s="5" t="s">
        <v>371</v>
      </c>
      <c r="H182" s="5" t="s">
        <v>371</v>
      </c>
      <c r="I182" s="5" t="s">
        <v>371</v>
      </c>
      <c r="J182" s="5" t="s">
        <v>371</v>
      </c>
      <c r="K182" s="5" t="s">
        <v>371</v>
      </c>
      <c r="L182" s="5" t="s">
        <v>371</v>
      </c>
      <c r="M182" s="5" t="s">
        <v>371</v>
      </c>
      <c r="N182" s="38">
        <v>781.3</v>
      </c>
      <c r="O182" s="38">
        <v>453.3</v>
      </c>
      <c r="P182" s="4">
        <f t="shared" si="58"/>
        <v>0.5801868680404455</v>
      </c>
      <c r="Q182" s="11">
        <v>20</v>
      </c>
      <c r="R182" s="11">
        <v>1</v>
      </c>
      <c r="S182" s="11">
        <v>15</v>
      </c>
      <c r="T182" s="38">
        <v>0</v>
      </c>
      <c r="U182" s="38">
        <v>0</v>
      </c>
      <c r="V182" s="4">
        <f t="shared" si="59"/>
        <v>1</v>
      </c>
      <c r="W182" s="11">
        <v>20</v>
      </c>
      <c r="X182" s="38">
        <v>0.2</v>
      </c>
      <c r="Y182" s="38">
        <v>0.3</v>
      </c>
      <c r="Z182" s="4">
        <f t="shared" si="60"/>
        <v>1.4999999999999998</v>
      </c>
      <c r="AA182" s="11">
        <v>30</v>
      </c>
      <c r="AB182" s="50">
        <f t="shared" si="65"/>
        <v>1.0776910277742224</v>
      </c>
      <c r="AC182" s="50">
        <f t="shared" si="66"/>
        <v>1.0776910277742224</v>
      </c>
      <c r="AD182" s="51">
        <v>465</v>
      </c>
      <c r="AE182" s="38">
        <f t="shared" si="61"/>
        <v>42.272727272727273</v>
      </c>
      <c r="AF182" s="38">
        <f t="shared" si="62"/>
        <v>45.6</v>
      </c>
      <c r="AG182" s="38">
        <f t="shared" si="56"/>
        <v>3.327272727272728</v>
      </c>
      <c r="AH182" s="38">
        <v>0</v>
      </c>
      <c r="AI182" s="38">
        <f t="shared" si="63"/>
        <v>45.6</v>
      </c>
      <c r="AJ182" s="38">
        <f>MIN($AI182,0.5)</f>
        <v>0.5</v>
      </c>
      <c r="AK182" s="38">
        <f t="shared" si="64"/>
        <v>45.1</v>
      </c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10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10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10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10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10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10"/>
      <c r="GJ182" s="9"/>
      <c r="GK182" s="9"/>
    </row>
    <row r="183" spans="1:193" s="2" customFormat="1" ht="16.95" customHeight="1">
      <c r="A183" s="14" t="s">
        <v>181</v>
      </c>
      <c r="B183" s="38">
        <v>0</v>
      </c>
      <c r="C183" s="38">
        <v>0</v>
      </c>
      <c r="D183" s="4">
        <f t="shared" si="57"/>
        <v>0</v>
      </c>
      <c r="E183" s="11">
        <v>0</v>
      </c>
      <c r="F183" s="5" t="s">
        <v>371</v>
      </c>
      <c r="G183" s="5" t="s">
        <v>371</v>
      </c>
      <c r="H183" s="5" t="s">
        <v>371</v>
      </c>
      <c r="I183" s="5" t="s">
        <v>371</v>
      </c>
      <c r="J183" s="5" t="s">
        <v>371</v>
      </c>
      <c r="K183" s="5" t="s">
        <v>371</v>
      </c>
      <c r="L183" s="5" t="s">
        <v>371</v>
      </c>
      <c r="M183" s="5" t="s">
        <v>371</v>
      </c>
      <c r="N183" s="38">
        <v>30.8</v>
      </c>
      <c r="O183" s="38">
        <v>75.900000000000006</v>
      </c>
      <c r="P183" s="4">
        <f t="shared" si="58"/>
        <v>2.4642857142857144</v>
      </c>
      <c r="Q183" s="11">
        <v>20</v>
      </c>
      <c r="R183" s="11">
        <v>1</v>
      </c>
      <c r="S183" s="11">
        <v>15</v>
      </c>
      <c r="T183" s="38">
        <v>0</v>
      </c>
      <c r="U183" s="38">
        <v>26.4</v>
      </c>
      <c r="V183" s="4">
        <f t="shared" si="59"/>
        <v>1</v>
      </c>
      <c r="W183" s="11">
        <v>25</v>
      </c>
      <c r="X183" s="38">
        <v>1</v>
      </c>
      <c r="Y183" s="38">
        <v>0.6</v>
      </c>
      <c r="Z183" s="4">
        <f t="shared" si="60"/>
        <v>0.6</v>
      </c>
      <c r="AA183" s="11">
        <v>25</v>
      </c>
      <c r="AB183" s="50">
        <f t="shared" si="65"/>
        <v>1.2268907563025211</v>
      </c>
      <c r="AC183" s="50">
        <f t="shared" si="66"/>
        <v>1.2026890756302522</v>
      </c>
      <c r="AD183" s="51">
        <v>1749</v>
      </c>
      <c r="AE183" s="38">
        <f t="shared" si="61"/>
        <v>159</v>
      </c>
      <c r="AF183" s="38">
        <f t="shared" si="62"/>
        <v>191.2</v>
      </c>
      <c r="AG183" s="38">
        <f t="shared" si="56"/>
        <v>32.199999999999989</v>
      </c>
      <c r="AH183" s="38">
        <v>4.5999999999999996</v>
      </c>
      <c r="AI183" s="38">
        <f t="shared" si="63"/>
        <v>195.79999999999998</v>
      </c>
      <c r="AJ183" s="38"/>
      <c r="AK183" s="38">
        <f t="shared" si="64"/>
        <v>195.8</v>
      </c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10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10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10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10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10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10"/>
      <c r="GJ183" s="9"/>
      <c r="GK183" s="9"/>
    </row>
    <row r="184" spans="1:193" s="2" customFormat="1" ht="16.95" customHeight="1">
      <c r="A184" s="14" t="s">
        <v>182</v>
      </c>
      <c r="B184" s="38">
        <v>0</v>
      </c>
      <c r="C184" s="38">
        <v>0</v>
      </c>
      <c r="D184" s="4">
        <f t="shared" si="57"/>
        <v>0</v>
      </c>
      <c r="E184" s="11">
        <v>0</v>
      </c>
      <c r="F184" s="5" t="s">
        <v>371</v>
      </c>
      <c r="G184" s="5" t="s">
        <v>371</v>
      </c>
      <c r="H184" s="5" t="s">
        <v>371</v>
      </c>
      <c r="I184" s="5" t="s">
        <v>371</v>
      </c>
      <c r="J184" s="5" t="s">
        <v>371</v>
      </c>
      <c r="K184" s="5" t="s">
        <v>371</v>
      </c>
      <c r="L184" s="5" t="s">
        <v>371</v>
      </c>
      <c r="M184" s="5" t="s">
        <v>371</v>
      </c>
      <c r="N184" s="38">
        <v>189</v>
      </c>
      <c r="O184" s="38">
        <v>171.4</v>
      </c>
      <c r="P184" s="4">
        <f t="shared" si="58"/>
        <v>0.90687830687830695</v>
      </c>
      <c r="Q184" s="11">
        <v>20</v>
      </c>
      <c r="R184" s="11">
        <v>1</v>
      </c>
      <c r="S184" s="11">
        <v>15</v>
      </c>
      <c r="T184" s="38">
        <v>12</v>
      </c>
      <c r="U184" s="38">
        <v>4.9000000000000004</v>
      </c>
      <c r="V184" s="4">
        <f t="shared" si="59"/>
        <v>0.40833333333333338</v>
      </c>
      <c r="W184" s="11">
        <v>20</v>
      </c>
      <c r="X184" s="38">
        <v>0.1</v>
      </c>
      <c r="Y184" s="38">
        <v>0.1</v>
      </c>
      <c r="Z184" s="4">
        <f t="shared" si="60"/>
        <v>1</v>
      </c>
      <c r="AA184" s="11">
        <v>30</v>
      </c>
      <c r="AB184" s="50">
        <f t="shared" si="65"/>
        <v>0.83887332710862128</v>
      </c>
      <c r="AC184" s="50">
        <f t="shared" si="66"/>
        <v>0.83887332710862128</v>
      </c>
      <c r="AD184" s="51">
        <v>864</v>
      </c>
      <c r="AE184" s="38">
        <f t="shared" si="61"/>
        <v>78.545454545454547</v>
      </c>
      <c r="AF184" s="38">
        <f t="shared" si="62"/>
        <v>65.900000000000006</v>
      </c>
      <c r="AG184" s="38">
        <f t="shared" si="56"/>
        <v>-12.645454545454541</v>
      </c>
      <c r="AH184" s="38">
        <v>5.0999999999999996</v>
      </c>
      <c r="AI184" s="38">
        <f t="shared" si="63"/>
        <v>71</v>
      </c>
      <c r="AJ184" s="38"/>
      <c r="AK184" s="38">
        <f t="shared" si="64"/>
        <v>71</v>
      </c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10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10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10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10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10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10"/>
      <c r="GJ184" s="9"/>
      <c r="GK184" s="9"/>
    </row>
    <row r="185" spans="1:193" s="2" customFormat="1" ht="16.95" customHeight="1">
      <c r="A185" s="19" t="s">
        <v>183</v>
      </c>
      <c r="B185" s="7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10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10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10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10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10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10"/>
      <c r="GJ185" s="9"/>
      <c r="GK185" s="9"/>
    </row>
    <row r="186" spans="1:193" s="2" customFormat="1" ht="16.95" customHeight="1">
      <c r="A186" s="14" t="s">
        <v>184</v>
      </c>
      <c r="B186" s="38">
        <v>0</v>
      </c>
      <c r="C186" s="38">
        <v>0</v>
      </c>
      <c r="D186" s="4">
        <f t="shared" si="57"/>
        <v>0</v>
      </c>
      <c r="E186" s="11">
        <v>0</v>
      </c>
      <c r="F186" s="5" t="s">
        <v>371</v>
      </c>
      <c r="G186" s="5" t="s">
        <v>371</v>
      </c>
      <c r="H186" s="5" t="s">
        <v>371</v>
      </c>
      <c r="I186" s="5" t="s">
        <v>371</v>
      </c>
      <c r="J186" s="5" t="s">
        <v>371</v>
      </c>
      <c r="K186" s="5" t="s">
        <v>371</v>
      </c>
      <c r="L186" s="5" t="s">
        <v>371</v>
      </c>
      <c r="M186" s="5" t="s">
        <v>371</v>
      </c>
      <c r="N186" s="38">
        <v>92.6</v>
      </c>
      <c r="O186" s="38">
        <v>67.3</v>
      </c>
      <c r="P186" s="4">
        <f t="shared" si="58"/>
        <v>0.72678185745140389</v>
      </c>
      <c r="Q186" s="11">
        <v>20</v>
      </c>
      <c r="R186" s="11">
        <v>1</v>
      </c>
      <c r="S186" s="11">
        <v>15</v>
      </c>
      <c r="T186" s="38">
        <v>13</v>
      </c>
      <c r="U186" s="38">
        <v>36.1</v>
      </c>
      <c r="V186" s="4">
        <f t="shared" si="59"/>
        <v>2.7769230769230768</v>
      </c>
      <c r="W186" s="11">
        <v>25</v>
      </c>
      <c r="X186" s="38">
        <v>0.5</v>
      </c>
      <c r="Y186" s="38">
        <v>0.6</v>
      </c>
      <c r="Z186" s="4">
        <f t="shared" si="60"/>
        <v>1.2</v>
      </c>
      <c r="AA186" s="11">
        <v>25</v>
      </c>
      <c r="AB186" s="50">
        <f t="shared" si="65"/>
        <v>1.5171613420247649</v>
      </c>
      <c r="AC186" s="50">
        <f t="shared" si="66"/>
        <v>1.2317161342024765</v>
      </c>
      <c r="AD186" s="51">
        <v>150</v>
      </c>
      <c r="AE186" s="38">
        <f t="shared" si="61"/>
        <v>13.636363636363637</v>
      </c>
      <c r="AF186" s="38">
        <f t="shared" si="62"/>
        <v>16.8</v>
      </c>
      <c r="AG186" s="38">
        <f t="shared" si="56"/>
        <v>3.163636363636364</v>
      </c>
      <c r="AH186" s="38">
        <v>-1.2</v>
      </c>
      <c r="AI186" s="38">
        <f t="shared" si="63"/>
        <v>15.600000000000001</v>
      </c>
      <c r="AJ186" s="38"/>
      <c r="AK186" s="38">
        <f t="shared" si="64"/>
        <v>15.6</v>
      </c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10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10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10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10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10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10"/>
      <c r="GJ186" s="9"/>
      <c r="GK186" s="9"/>
    </row>
    <row r="187" spans="1:193" s="2" customFormat="1" ht="16.95" customHeight="1">
      <c r="A187" s="14" t="s">
        <v>185</v>
      </c>
      <c r="B187" s="38">
        <v>0</v>
      </c>
      <c r="C187" s="38">
        <v>0</v>
      </c>
      <c r="D187" s="4">
        <f t="shared" si="57"/>
        <v>0</v>
      </c>
      <c r="E187" s="11">
        <v>0</v>
      </c>
      <c r="F187" s="5" t="s">
        <v>371</v>
      </c>
      <c r="G187" s="5" t="s">
        <v>371</v>
      </c>
      <c r="H187" s="5" t="s">
        <v>371</v>
      </c>
      <c r="I187" s="5" t="s">
        <v>371</v>
      </c>
      <c r="J187" s="5" t="s">
        <v>371</v>
      </c>
      <c r="K187" s="5" t="s">
        <v>371</v>
      </c>
      <c r="L187" s="5" t="s">
        <v>371</v>
      </c>
      <c r="M187" s="5" t="s">
        <v>371</v>
      </c>
      <c r="N187" s="38">
        <v>137</v>
      </c>
      <c r="O187" s="38">
        <v>169.8</v>
      </c>
      <c r="P187" s="4">
        <f t="shared" si="58"/>
        <v>1.2394160583941607</v>
      </c>
      <c r="Q187" s="11">
        <v>20</v>
      </c>
      <c r="R187" s="11">
        <v>1</v>
      </c>
      <c r="S187" s="11">
        <v>15</v>
      </c>
      <c r="T187" s="38">
        <v>10</v>
      </c>
      <c r="U187" s="38">
        <v>17.2</v>
      </c>
      <c r="V187" s="4">
        <f t="shared" si="59"/>
        <v>1.72</v>
      </c>
      <c r="W187" s="11">
        <v>20</v>
      </c>
      <c r="X187" s="38">
        <v>0.5</v>
      </c>
      <c r="Y187" s="38">
        <v>0.6</v>
      </c>
      <c r="Z187" s="4">
        <f t="shared" si="60"/>
        <v>1.2</v>
      </c>
      <c r="AA187" s="11">
        <v>30</v>
      </c>
      <c r="AB187" s="50">
        <f t="shared" si="65"/>
        <v>1.2963331902103907</v>
      </c>
      <c r="AC187" s="50">
        <f t="shared" si="66"/>
        <v>1.2096333190210391</v>
      </c>
      <c r="AD187" s="51">
        <v>105</v>
      </c>
      <c r="AE187" s="38">
        <f t="shared" si="61"/>
        <v>9.545454545454545</v>
      </c>
      <c r="AF187" s="38">
        <f t="shared" si="62"/>
        <v>11.5</v>
      </c>
      <c r="AG187" s="38">
        <f t="shared" si="56"/>
        <v>1.954545454545455</v>
      </c>
      <c r="AH187" s="38">
        <v>-0.5</v>
      </c>
      <c r="AI187" s="38">
        <f t="shared" si="63"/>
        <v>11</v>
      </c>
      <c r="AJ187" s="38"/>
      <c r="AK187" s="38">
        <f t="shared" si="64"/>
        <v>11</v>
      </c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10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10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10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10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10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10"/>
      <c r="GJ187" s="9"/>
      <c r="GK187" s="9"/>
    </row>
    <row r="188" spans="1:193" s="2" customFormat="1" ht="16.95" customHeight="1">
      <c r="A188" s="14" t="s">
        <v>186</v>
      </c>
      <c r="B188" s="38">
        <v>0</v>
      </c>
      <c r="C188" s="38">
        <v>0</v>
      </c>
      <c r="D188" s="4">
        <f t="shared" si="57"/>
        <v>0</v>
      </c>
      <c r="E188" s="11">
        <v>0</v>
      </c>
      <c r="F188" s="5" t="s">
        <v>371</v>
      </c>
      <c r="G188" s="5" t="s">
        <v>371</v>
      </c>
      <c r="H188" s="5" t="s">
        <v>371</v>
      </c>
      <c r="I188" s="5" t="s">
        <v>371</v>
      </c>
      <c r="J188" s="5" t="s">
        <v>371</v>
      </c>
      <c r="K188" s="5" t="s">
        <v>371</v>
      </c>
      <c r="L188" s="5" t="s">
        <v>371</v>
      </c>
      <c r="M188" s="5" t="s">
        <v>371</v>
      </c>
      <c r="N188" s="38">
        <v>68.900000000000006</v>
      </c>
      <c r="O188" s="38">
        <v>72.099999999999994</v>
      </c>
      <c r="P188" s="4">
        <f t="shared" si="58"/>
        <v>1.0464441219158198</v>
      </c>
      <c r="Q188" s="11">
        <v>20</v>
      </c>
      <c r="R188" s="11">
        <v>1</v>
      </c>
      <c r="S188" s="11">
        <v>15</v>
      </c>
      <c r="T188" s="38">
        <v>130</v>
      </c>
      <c r="U188" s="38">
        <v>96.9</v>
      </c>
      <c r="V188" s="4">
        <f t="shared" si="59"/>
        <v>0.74538461538461542</v>
      </c>
      <c r="W188" s="11">
        <v>30</v>
      </c>
      <c r="X188" s="38">
        <v>1</v>
      </c>
      <c r="Y188" s="38">
        <v>1.1000000000000001</v>
      </c>
      <c r="Z188" s="4">
        <f t="shared" si="60"/>
        <v>1.1000000000000001</v>
      </c>
      <c r="AA188" s="11">
        <v>20</v>
      </c>
      <c r="AB188" s="50">
        <f t="shared" si="65"/>
        <v>0.94459318705711592</v>
      </c>
      <c r="AC188" s="50">
        <f t="shared" si="66"/>
        <v>0.94459318705711592</v>
      </c>
      <c r="AD188" s="51">
        <v>988</v>
      </c>
      <c r="AE188" s="38">
        <f t="shared" si="61"/>
        <v>89.818181818181813</v>
      </c>
      <c r="AF188" s="38">
        <f t="shared" si="62"/>
        <v>84.8</v>
      </c>
      <c r="AG188" s="38">
        <f t="shared" si="56"/>
        <v>-5.0181818181818159</v>
      </c>
      <c r="AH188" s="38">
        <v>-6.7</v>
      </c>
      <c r="AI188" s="38">
        <f t="shared" si="63"/>
        <v>78.099999999999994</v>
      </c>
      <c r="AJ188" s="38"/>
      <c r="AK188" s="38">
        <f t="shared" si="64"/>
        <v>78.099999999999994</v>
      </c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10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10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10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10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10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10"/>
      <c r="GJ188" s="9"/>
      <c r="GK188" s="9"/>
    </row>
    <row r="189" spans="1:193" s="2" customFormat="1" ht="16.95" customHeight="1">
      <c r="A189" s="14" t="s">
        <v>187</v>
      </c>
      <c r="B189" s="38">
        <v>95028</v>
      </c>
      <c r="C189" s="38">
        <v>112855</v>
      </c>
      <c r="D189" s="4">
        <f t="shared" si="57"/>
        <v>1.1875973397314477</v>
      </c>
      <c r="E189" s="11">
        <v>10</v>
      </c>
      <c r="F189" s="5" t="s">
        <v>371</v>
      </c>
      <c r="G189" s="5" t="s">
        <v>371</v>
      </c>
      <c r="H189" s="5" t="s">
        <v>371</v>
      </c>
      <c r="I189" s="5" t="s">
        <v>371</v>
      </c>
      <c r="J189" s="5" t="s">
        <v>371</v>
      </c>
      <c r="K189" s="5" t="s">
        <v>371</v>
      </c>
      <c r="L189" s="5" t="s">
        <v>371</v>
      </c>
      <c r="M189" s="5" t="s">
        <v>371</v>
      </c>
      <c r="N189" s="38">
        <v>1591.2</v>
      </c>
      <c r="O189" s="38">
        <v>1316.5</v>
      </c>
      <c r="P189" s="4">
        <f t="shared" si="58"/>
        <v>0.82736299648064349</v>
      </c>
      <c r="Q189" s="11">
        <v>20</v>
      </c>
      <c r="R189" s="11">
        <v>1</v>
      </c>
      <c r="S189" s="11">
        <v>15</v>
      </c>
      <c r="T189" s="38">
        <v>6</v>
      </c>
      <c r="U189" s="38">
        <v>6.4</v>
      </c>
      <c r="V189" s="4">
        <f t="shared" si="59"/>
        <v>1.0666666666666667</v>
      </c>
      <c r="W189" s="11">
        <v>10</v>
      </c>
      <c r="X189" s="38">
        <v>3</v>
      </c>
      <c r="Y189" s="38">
        <v>8.8000000000000007</v>
      </c>
      <c r="Z189" s="4">
        <f t="shared" si="60"/>
        <v>2.9333333333333336</v>
      </c>
      <c r="AA189" s="11">
        <v>40</v>
      </c>
      <c r="AB189" s="50">
        <f t="shared" si="65"/>
        <v>1.8044550876518668</v>
      </c>
      <c r="AC189" s="50">
        <f t="shared" si="66"/>
        <v>1.2604455087651867</v>
      </c>
      <c r="AD189" s="51">
        <v>3724</v>
      </c>
      <c r="AE189" s="38">
        <f t="shared" si="61"/>
        <v>338.54545454545456</v>
      </c>
      <c r="AF189" s="38">
        <f t="shared" si="62"/>
        <v>426.7</v>
      </c>
      <c r="AG189" s="38">
        <f t="shared" si="56"/>
        <v>88.154545454545428</v>
      </c>
      <c r="AH189" s="38">
        <v>-3.1</v>
      </c>
      <c r="AI189" s="38">
        <f t="shared" si="63"/>
        <v>423.59999999999997</v>
      </c>
      <c r="AJ189" s="38"/>
      <c r="AK189" s="38">
        <f t="shared" si="64"/>
        <v>423.6</v>
      </c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10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10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10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10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10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10"/>
      <c r="GJ189" s="9"/>
      <c r="GK189" s="9"/>
    </row>
    <row r="190" spans="1:193" s="2" customFormat="1" ht="16.95" customHeight="1">
      <c r="A190" s="14" t="s">
        <v>188</v>
      </c>
      <c r="B190" s="38">
        <v>0</v>
      </c>
      <c r="C190" s="38">
        <v>0</v>
      </c>
      <c r="D190" s="4">
        <f t="shared" si="57"/>
        <v>0</v>
      </c>
      <c r="E190" s="11">
        <v>0</v>
      </c>
      <c r="F190" s="5" t="s">
        <v>371</v>
      </c>
      <c r="G190" s="5" t="s">
        <v>371</v>
      </c>
      <c r="H190" s="5" t="s">
        <v>371</v>
      </c>
      <c r="I190" s="5" t="s">
        <v>371</v>
      </c>
      <c r="J190" s="5" t="s">
        <v>371</v>
      </c>
      <c r="K190" s="5" t="s">
        <v>371</v>
      </c>
      <c r="L190" s="5" t="s">
        <v>371</v>
      </c>
      <c r="M190" s="5" t="s">
        <v>371</v>
      </c>
      <c r="N190" s="38">
        <v>298.2</v>
      </c>
      <c r="O190" s="38">
        <v>253.1</v>
      </c>
      <c r="P190" s="4">
        <f t="shared" si="58"/>
        <v>0.84875922199865861</v>
      </c>
      <c r="Q190" s="11">
        <v>20</v>
      </c>
      <c r="R190" s="11">
        <v>1</v>
      </c>
      <c r="S190" s="11">
        <v>15</v>
      </c>
      <c r="T190" s="38">
        <v>170</v>
      </c>
      <c r="U190" s="38">
        <v>287</v>
      </c>
      <c r="V190" s="4">
        <f t="shared" si="59"/>
        <v>1.6882352941176471</v>
      </c>
      <c r="W190" s="11">
        <v>35</v>
      </c>
      <c r="X190" s="38">
        <v>5</v>
      </c>
      <c r="Y190" s="38">
        <v>5.2</v>
      </c>
      <c r="Z190" s="4">
        <f t="shared" si="60"/>
        <v>1.04</v>
      </c>
      <c r="AA190" s="11">
        <v>15</v>
      </c>
      <c r="AB190" s="50">
        <f t="shared" si="65"/>
        <v>1.2548637615775389</v>
      </c>
      <c r="AC190" s="50">
        <f t="shared" si="66"/>
        <v>1.2054863761577539</v>
      </c>
      <c r="AD190" s="51">
        <v>928</v>
      </c>
      <c r="AE190" s="38">
        <f t="shared" si="61"/>
        <v>84.36363636363636</v>
      </c>
      <c r="AF190" s="38">
        <f t="shared" si="62"/>
        <v>101.7</v>
      </c>
      <c r="AG190" s="38">
        <f t="shared" si="56"/>
        <v>17.336363636363643</v>
      </c>
      <c r="AH190" s="38">
        <v>-0.8</v>
      </c>
      <c r="AI190" s="38">
        <f t="shared" si="63"/>
        <v>100.9</v>
      </c>
      <c r="AJ190" s="38"/>
      <c r="AK190" s="38">
        <f t="shared" si="64"/>
        <v>100.9</v>
      </c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10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10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10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10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10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10"/>
      <c r="GJ190" s="9"/>
      <c r="GK190" s="9"/>
    </row>
    <row r="191" spans="1:193" s="2" customFormat="1" ht="16.95" customHeight="1">
      <c r="A191" s="14" t="s">
        <v>189</v>
      </c>
      <c r="B191" s="38">
        <v>0</v>
      </c>
      <c r="C191" s="38">
        <v>0</v>
      </c>
      <c r="D191" s="4">
        <f t="shared" si="57"/>
        <v>0</v>
      </c>
      <c r="E191" s="11">
        <v>0</v>
      </c>
      <c r="F191" s="5" t="s">
        <v>371</v>
      </c>
      <c r="G191" s="5" t="s">
        <v>371</v>
      </c>
      <c r="H191" s="5" t="s">
        <v>371</v>
      </c>
      <c r="I191" s="5" t="s">
        <v>371</v>
      </c>
      <c r="J191" s="5" t="s">
        <v>371</v>
      </c>
      <c r="K191" s="5" t="s">
        <v>371</v>
      </c>
      <c r="L191" s="5" t="s">
        <v>371</v>
      </c>
      <c r="M191" s="5" t="s">
        <v>371</v>
      </c>
      <c r="N191" s="38">
        <v>203.7</v>
      </c>
      <c r="O191" s="38">
        <v>2541.8000000000002</v>
      </c>
      <c r="P191" s="4">
        <f t="shared" si="58"/>
        <v>12.478154148257243</v>
      </c>
      <c r="Q191" s="11">
        <v>20</v>
      </c>
      <c r="R191" s="11">
        <v>1</v>
      </c>
      <c r="S191" s="11">
        <v>15</v>
      </c>
      <c r="T191" s="38">
        <v>47</v>
      </c>
      <c r="U191" s="38">
        <v>94.1</v>
      </c>
      <c r="V191" s="4">
        <f t="shared" si="59"/>
        <v>2.0021276595744681</v>
      </c>
      <c r="W191" s="11">
        <v>25</v>
      </c>
      <c r="X191" s="38">
        <v>1</v>
      </c>
      <c r="Y191" s="38">
        <v>1.1000000000000001</v>
      </c>
      <c r="Z191" s="4">
        <f t="shared" si="60"/>
        <v>1.1000000000000001</v>
      </c>
      <c r="AA191" s="11">
        <v>25</v>
      </c>
      <c r="AB191" s="50">
        <f t="shared" si="65"/>
        <v>4.0248973465236073</v>
      </c>
      <c r="AC191" s="50">
        <f t="shared" si="66"/>
        <v>1.3</v>
      </c>
      <c r="AD191" s="51">
        <v>691</v>
      </c>
      <c r="AE191" s="38">
        <f t="shared" si="61"/>
        <v>62.81818181818182</v>
      </c>
      <c r="AF191" s="38">
        <f t="shared" si="62"/>
        <v>81.7</v>
      </c>
      <c r="AG191" s="38">
        <f t="shared" si="56"/>
        <v>18.881818181818183</v>
      </c>
      <c r="AH191" s="38">
        <v>-0.7</v>
      </c>
      <c r="AI191" s="38">
        <f t="shared" si="63"/>
        <v>81</v>
      </c>
      <c r="AJ191" s="38"/>
      <c r="AK191" s="38">
        <f t="shared" si="64"/>
        <v>81</v>
      </c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10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10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10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10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10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10"/>
      <c r="GJ191" s="9"/>
      <c r="GK191" s="9"/>
    </row>
    <row r="192" spans="1:193" s="2" customFormat="1" ht="16.95" customHeight="1">
      <c r="A192" s="14" t="s">
        <v>190</v>
      </c>
      <c r="B192" s="38">
        <v>0</v>
      </c>
      <c r="C192" s="38">
        <v>0</v>
      </c>
      <c r="D192" s="4">
        <f t="shared" si="57"/>
        <v>0</v>
      </c>
      <c r="E192" s="11">
        <v>0</v>
      </c>
      <c r="F192" s="5" t="s">
        <v>371</v>
      </c>
      <c r="G192" s="5" t="s">
        <v>371</v>
      </c>
      <c r="H192" s="5" t="s">
        <v>371</v>
      </c>
      <c r="I192" s="5" t="s">
        <v>371</v>
      </c>
      <c r="J192" s="5" t="s">
        <v>371</v>
      </c>
      <c r="K192" s="5" t="s">
        <v>371</v>
      </c>
      <c r="L192" s="5" t="s">
        <v>371</v>
      </c>
      <c r="M192" s="5" t="s">
        <v>371</v>
      </c>
      <c r="N192" s="38">
        <v>955.1</v>
      </c>
      <c r="O192" s="38">
        <v>67.2</v>
      </c>
      <c r="P192" s="4">
        <f t="shared" si="58"/>
        <v>7.0359124698984407E-2</v>
      </c>
      <c r="Q192" s="11">
        <v>20</v>
      </c>
      <c r="R192" s="11">
        <v>1</v>
      </c>
      <c r="S192" s="11">
        <v>15</v>
      </c>
      <c r="T192" s="38">
        <v>50</v>
      </c>
      <c r="U192" s="38">
        <v>118.8</v>
      </c>
      <c r="V192" s="4">
        <f t="shared" si="59"/>
        <v>2.3759999999999999</v>
      </c>
      <c r="W192" s="11">
        <v>25</v>
      </c>
      <c r="X192" s="38">
        <v>1</v>
      </c>
      <c r="Y192" s="38">
        <v>1.1000000000000001</v>
      </c>
      <c r="Z192" s="4">
        <f t="shared" si="60"/>
        <v>1.1000000000000001</v>
      </c>
      <c r="AA192" s="11">
        <v>25</v>
      </c>
      <c r="AB192" s="50">
        <f t="shared" si="65"/>
        <v>1.2153786175762318</v>
      </c>
      <c r="AC192" s="50">
        <f t="shared" si="66"/>
        <v>1.2015378617576231</v>
      </c>
      <c r="AD192" s="51">
        <v>375</v>
      </c>
      <c r="AE192" s="38">
        <f t="shared" si="61"/>
        <v>34.090909090909093</v>
      </c>
      <c r="AF192" s="38">
        <f t="shared" si="62"/>
        <v>41</v>
      </c>
      <c r="AG192" s="38">
        <f t="shared" si="56"/>
        <v>6.9090909090909065</v>
      </c>
      <c r="AH192" s="38">
        <v>-1.4</v>
      </c>
      <c r="AI192" s="38">
        <f t="shared" si="63"/>
        <v>39.6</v>
      </c>
      <c r="AJ192" s="38"/>
      <c r="AK192" s="38">
        <f t="shared" si="64"/>
        <v>39.6</v>
      </c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10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10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10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10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10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10"/>
      <c r="GJ192" s="9"/>
      <c r="GK192" s="9"/>
    </row>
    <row r="193" spans="1:193" s="2" customFormat="1" ht="16.95" customHeight="1">
      <c r="A193" s="14" t="s">
        <v>191</v>
      </c>
      <c r="B193" s="38">
        <v>10803</v>
      </c>
      <c r="C193" s="38">
        <v>13361</v>
      </c>
      <c r="D193" s="4">
        <f t="shared" si="57"/>
        <v>1.2367860779413127</v>
      </c>
      <c r="E193" s="11">
        <v>10</v>
      </c>
      <c r="F193" s="5" t="s">
        <v>371</v>
      </c>
      <c r="G193" s="5" t="s">
        <v>371</v>
      </c>
      <c r="H193" s="5" t="s">
        <v>371</v>
      </c>
      <c r="I193" s="5" t="s">
        <v>371</v>
      </c>
      <c r="J193" s="5" t="s">
        <v>371</v>
      </c>
      <c r="K193" s="5" t="s">
        <v>371</v>
      </c>
      <c r="L193" s="5" t="s">
        <v>371</v>
      </c>
      <c r="M193" s="5" t="s">
        <v>371</v>
      </c>
      <c r="N193" s="38">
        <v>223.2</v>
      </c>
      <c r="O193" s="38">
        <v>480.2</v>
      </c>
      <c r="P193" s="4">
        <f t="shared" si="58"/>
        <v>2.1514336917562726</v>
      </c>
      <c r="Q193" s="11">
        <v>20</v>
      </c>
      <c r="R193" s="11">
        <v>1</v>
      </c>
      <c r="S193" s="11">
        <v>15</v>
      </c>
      <c r="T193" s="38">
        <v>350</v>
      </c>
      <c r="U193" s="38">
        <v>362.2</v>
      </c>
      <c r="V193" s="4">
        <f t="shared" si="59"/>
        <v>1.0348571428571429</v>
      </c>
      <c r="W193" s="11">
        <v>35</v>
      </c>
      <c r="X193" s="38">
        <v>13</v>
      </c>
      <c r="Y193" s="38">
        <v>13.8</v>
      </c>
      <c r="Z193" s="4">
        <f t="shared" si="60"/>
        <v>1.0615384615384615</v>
      </c>
      <c r="AA193" s="11">
        <v>15</v>
      </c>
      <c r="AB193" s="50">
        <f t="shared" si="65"/>
        <v>1.2898906477643737</v>
      </c>
      <c r="AC193" s="50">
        <f t="shared" si="66"/>
        <v>1.2089890647764374</v>
      </c>
      <c r="AD193" s="51">
        <v>1049</v>
      </c>
      <c r="AE193" s="38">
        <f t="shared" si="61"/>
        <v>95.36363636363636</v>
      </c>
      <c r="AF193" s="38">
        <f t="shared" si="62"/>
        <v>115.3</v>
      </c>
      <c r="AG193" s="38">
        <f t="shared" si="56"/>
        <v>19.936363636363637</v>
      </c>
      <c r="AH193" s="38">
        <v>-1.3</v>
      </c>
      <c r="AI193" s="38">
        <f t="shared" si="63"/>
        <v>114</v>
      </c>
      <c r="AJ193" s="38"/>
      <c r="AK193" s="38">
        <f t="shared" si="64"/>
        <v>114</v>
      </c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10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10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10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10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10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10"/>
      <c r="GJ193" s="9"/>
      <c r="GK193" s="9"/>
    </row>
    <row r="194" spans="1:193" s="2" customFormat="1" ht="16.95" customHeight="1">
      <c r="A194" s="14" t="s">
        <v>192</v>
      </c>
      <c r="B194" s="38">
        <v>0</v>
      </c>
      <c r="C194" s="38">
        <v>0</v>
      </c>
      <c r="D194" s="4">
        <f t="shared" si="57"/>
        <v>0</v>
      </c>
      <c r="E194" s="11">
        <v>0</v>
      </c>
      <c r="F194" s="5" t="s">
        <v>371</v>
      </c>
      <c r="G194" s="5" t="s">
        <v>371</v>
      </c>
      <c r="H194" s="5" t="s">
        <v>371</v>
      </c>
      <c r="I194" s="5" t="s">
        <v>371</v>
      </c>
      <c r="J194" s="5" t="s">
        <v>371</v>
      </c>
      <c r="K194" s="5" t="s">
        <v>371</v>
      </c>
      <c r="L194" s="5" t="s">
        <v>371</v>
      </c>
      <c r="M194" s="5" t="s">
        <v>371</v>
      </c>
      <c r="N194" s="38">
        <v>249.7</v>
      </c>
      <c r="O194" s="38">
        <v>85.4</v>
      </c>
      <c r="P194" s="4">
        <f t="shared" si="58"/>
        <v>0.34201041249499403</v>
      </c>
      <c r="Q194" s="11">
        <v>20</v>
      </c>
      <c r="R194" s="11">
        <v>1</v>
      </c>
      <c r="S194" s="11">
        <v>15</v>
      </c>
      <c r="T194" s="38">
        <v>130</v>
      </c>
      <c r="U194" s="38">
        <v>197.5</v>
      </c>
      <c r="V194" s="4">
        <f t="shared" si="59"/>
        <v>1.5192307692307692</v>
      </c>
      <c r="W194" s="11">
        <v>30</v>
      </c>
      <c r="X194" s="38">
        <v>5</v>
      </c>
      <c r="Y194" s="38">
        <v>5.4</v>
      </c>
      <c r="Z194" s="4">
        <f t="shared" si="60"/>
        <v>1.08</v>
      </c>
      <c r="AA194" s="11">
        <v>20</v>
      </c>
      <c r="AB194" s="50">
        <f t="shared" si="65"/>
        <v>1.0472603685508581</v>
      </c>
      <c r="AC194" s="50">
        <f t="shared" si="66"/>
        <v>1.0472603685508581</v>
      </c>
      <c r="AD194" s="51">
        <v>1855</v>
      </c>
      <c r="AE194" s="38">
        <f t="shared" si="61"/>
        <v>168.63636363636363</v>
      </c>
      <c r="AF194" s="38">
        <f t="shared" si="62"/>
        <v>176.6</v>
      </c>
      <c r="AG194" s="38">
        <f t="shared" si="56"/>
        <v>7.9636363636363683</v>
      </c>
      <c r="AH194" s="38">
        <v>-6.9</v>
      </c>
      <c r="AI194" s="38">
        <f t="shared" si="63"/>
        <v>169.7</v>
      </c>
      <c r="AJ194" s="38"/>
      <c r="AK194" s="38">
        <f t="shared" si="64"/>
        <v>169.7</v>
      </c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10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10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10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10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10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10"/>
      <c r="GJ194" s="9"/>
      <c r="GK194" s="9"/>
    </row>
    <row r="195" spans="1:193" s="2" customFormat="1" ht="16.95" customHeight="1">
      <c r="A195" s="14" t="s">
        <v>193</v>
      </c>
      <c r="B195" s="38">
        <v>0</v>
      </c>
      <c r="C195" s="38">
        <v>0</v>
      </c>
      <c r="D195" s="4">
        <f t="shared" si="57"/>
        <v>0</v>
      </c>
      <c r="E195" s="11">
        <v>0</v>
      </c>
      <c r="F195" s="5" t="s">
        <v>371</v>
      </c>
      <c r="G195" s="5" t="s">
        <v>371</v>
      </c>
      <c r="H195" s="5" t="s">
        <v>371</v>
      </c>
      <c r="I195" s="5" t="s">
        <v>371</v>
      </c>
      <c r="J195" s="5" t="s">
        <v>371</v>
      </c>
      <c r="K195" s="5" t="s">
        <v>371</v>
      </c>
      <c r="L195" s="5" t="s">
        <v>371</v>
      </c>
      <c r="M195" s="5" t="s">
        <v>371</v>
      </c>
      <c r="N195" s="38">
        <v>86</v>
      </c>
      <c r="O195" s="38">
        <v>63.6</v>
      </c>
      <c r="P195" s="4">
        <f t="shared" si="58"/>
        <v>0.73953488372093024</v>
      </c>
      <c r="Q195" s="11">
        <v>20</v>
      </c>
      <c r="R195" s="11">
        <v>1</v>
      </c>
      <c r="S195" s="11">
        <v>15</v>
      </c>
      <c r="T195" s="38">
        <v>130</v>
      </c>
      <c r="U195" s="38">
        <v>209.5</v>
      </c>
      <c r="V195" s="4">
        <f t="shared" si="59"/>
        <v>1.6115384615384616</v>
      </c>
      <c r="W195" s="11">
        <v>30</v>
      </c>
      <c r="X195" s="38">
        <v>4</v>
      </c>
      <c r="Y195" s="38">
        <v>4.3</v>
      </c>
      <c r="Z195" s="4">
        <f t="shared" si="60"/>
        <v>1.075</v>
      </c>
      <c r="AA195" s="11">
        <v>20</v>
      </c>
      <c r="AB195" s="50">
        <f t="shared" si="65"/>
        <v>1.1721982531832054</v>
      </c>
      <c r="AC195" s="50">
        <f t="shared" si="66"/>
        <v>1.1721982531832054</v>
      </c>
      <c r="AD195" s="51">
        <v>1185</v>
      </c>
      <c r="AE195" s="38">
        <f t="shared" si="61"/>
        <v>107.72727272727273</v>
      </c>
      <c r="AF195" s="38">
        <f t="shared" si="62"/>
        <v>126.3</v>
      </c>
      <c r="AG195" s="38">
        <f t="shared" si="56"/>
        <v>18.572727272727263</v>
      </c>
      <c r="AH195" s="38">
        <v>-9.6</v>
      </c>
      <c r="AI195" s="38">
        <f t="shared" si="63"/>
        <v>116.7</v>
      </c>
      <c r="AJ195" s="38"/>
      <c r="AK195" s="38">
        <f t="shared" si="64"/>
        <v>116.7</v>
      </c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10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10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10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10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10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10"/>
      <c r="GJ195" s="9"/>
      <c r="GK195" s="9"/>
    </row>
    <row r="196" spans="1:193" s="2" customFormat="1" ht="16.95" customHeight="1">
      <c r="A196" s="14" t="s">
        <v>194</v>
      </c>
      <c r="B196" s="38">
        <v>0</v>
      </c>
      <c r="C196" s="38">
        <v>0</v>
      </c>
      <c r="D196" s="4">
        <f t="shared" si="57"/>
        <v>0</v>
      </c>
      <c r="E196" s="11">
        <v>0</v>
      </c>
      <c r="F196" s="5" t="s">
        <v>371</v>
      </c>
      <c r="G196" s="5" t="s">
        <v>371</v>
      </c>
      <c r="H196" s="5" t="s">
        <v>371</v>
      </c>
      <c r="I196" s="5" t="s">
        <v>371</v>
      </c>
      <c r="J196" s="5" t="s">
        <v>371</v>
      </c>
      <c r="K196" s="5" t="s">
        <v>371</v>
      </c>
      <c r="L196" s="5" t="s">
        <v>371</v>
      </c>
      <c r="M196" s="5" t="s">
        <v>371</v>
      </c>
      <c r="N196" s="38">
        <v>144.5</v>
      </c>
      <c r="O196" s="38">
        <v>18.8</v>
      </c>
      <c r="P196" s="4">
        <f t="shared" si="58"/>
        <v>0.1301038062283737</v>
      </c>
      <c r="Q196" s="11">
        <v>20</v>
      </c>
      <c r="R196" s="11">
        <v>1</v>
      </c>
      <c r="S196" s="11">
        <v>15</v>
      </c>
      <c r="T196" s="38">
        <v>19</v>
      </c>
      <c r="U196" s="38">
        <v>43.7</v>
      </c>
      <c r="V196" s="4">
        <f t="shared" si="59"/>
        <v>2.3000000000000003</v>
      </c>
      <c r="W196" s="11">
        <v>25</v>
      </c>
      <c r="X196" s="38">
        <v>3</v>
      </c>
      <c r="Y196" s="38">
        <v>3.2</v>
      </c>
      <c r="Z196" s="4">
        <f t="shared" si="60"/>
        <v>1.0666666666666667</v>
      </c>
      <c r="AA196" s="11">
        <v>25</v>
      </c>
      <c r="AB196" s="50">
        <f t="shared" si="65"/>
        <v>1.1972793269556958</v>
      </c>
      <c r="AC196" s="50">
        <f t="shared" si="66"/>
        <v>1.1972793269556958</v>
      </c>
      <c r="AD196" s="51">
        <v>192</v>
      </c>
      <c r="AE196" s="38">
        <f t="shared" si="61"/>
        <v>17.454545454545453</v>
      </c>
      <c r="AF196" s="38">
        <f t="shared" si="62"/>
        <v>20.9</v>
      </c>
      <c r="AG196" s="38">
        <f t="shared" si="56"/>
        <v>3.4454545454545453</v>
      </c>
      <c r="AH196" s="38">
        <v>-0.7</v>
      </c>
      <c r="AI196" s="38">
        <f t="shared" si="63"/>
        <v>20.2</v>
      </c>
      <c r="AJ196" s="38"/>
      <c r="AK196" s="38">
        <f t="shared" si="64"/>
        <v>20.2</v>
      </c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10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10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10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10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10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10"/>
      <c r="GJ196" s="9"/>
      <c r="GK196" s="9"/>
    </row>
    <row r="197" spans="1:193" s="2" customFormat="1" ht="16.95" customHeight="1">
      <c r="A197" s="14" t="s">
        <v>195</v>
      </c>
      <c r="B197" s="38">
        <v>0</v>
      </c>
      <c r="C197" s="38">
        <v>0</v>
      </c>
      <c r="D197" s="4">
        <f t="shared" si="57"/>
        <v>0</v>
      </c>
      <c r="E197" s="11">
        <v>0</v>
      </c>
      <c r="F197" s="5" t="s">
        <v>371</v>
      </c>
      <c r="G197" s="5" t="s">
        <v>371</v>
      </c>
      <c r="H197" s="5" t="s">
        <v>371</v>
      </c>
      <c r="I197" s="5" t="s">
        <v>371</v>
      </c>
      <c r="J197" s="5" t="s">
        <v>371</v>
      </c>
      <c r="K197" s="5" t="s">
        <v>371</v>
      </c>
      <c r="L197" s="5" t="s">
        <v>371</v>
      </c>
      <c r="M197" s="5" t="s">
        <v>371</v>
      </c>
      <c r="N197" s="38">
        <v>396.1</v>
      </c>
      <c r="O197" s="38">
        <v>1696.5</v>
      </c>
      <c r="P197" s="4">
        <f t="shared" si="58"/>
        <v>4.2830093410754859</v>
      </c>
      <c r="Q197" s="11">
        <v>20</v>
      </c>
      <c r="R197" s="11">
        <v>1</v>
      </c>
      <c r="S197" s="11">
        <v>15</v>
      </c>
      <c r="T197" s="38">
        <v>440</v>
      </c>
      <c r="U197" s="38">
        <v>490.6</v>
      </c>
      <c r="V197" s="4">
        <f t="shared" si="59"/>
        <v>1.115</v>
      </c>
      <c r="W197" s="11">
        <v>35</v>
      </c>
      <c r="X197" s="38">
        <v>9</v>
      </c>
      <c r="Y197" s="38">
        <v>10.3</v>
      </c>
      <c r="Z197" s="4">
        <f t="shared" si="60"/>
        <v>1.1444444444444446</v>
      </c>
      <c r="AA197" s="11">
        <v>15</v>
      </c>
      <c r="AB197" s="50">
        <f t="shared" si="65"/>
        <v>1.8453159233903103</v>
      </c>
      <c r="AC197" s="50">
        <f t="shared" si="66"/>
        <v>1.264531592339031</v>
      </c>
      <c r="AD197" s="51">
        <v>453</v>
      </c>
      <c r="AE197" s="38">
        <f t="shared" si="61"/>
        <v>41.18181818181818</v>
      </c>
      <c r="AF197" s="38">
        <f t="shared" si="62"/>
        <v>52.1</v>
      </c>
      <c r="AG197" s="38">
        <f t="shared" si="56"/>
        <v>10.918181818181822</v>
      </c>
      <c r="AH197" s="38">
        <v>-1.8</v>
      </c>
      <c r="AI197" s="38">
        <f t="shared" si="63"/>
        <v>50.300000000000004</v>
      </c>
      <c r="AJ197" s="38"/>
      <c r="AK197" s="38">
        <f t="shared" si="64"/>
        <v>50.3</v>
      </c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10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10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10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10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10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10"/>
      <c r="GJ197" s="9"/>
      <c r="GK197" s="9"/>
    </row>
    <row r="198" spans="1:193" s="2" customFormat="1" ht="16.95" customHeight="1">
      <c r="A198" s="14" t="s">
        <v>196</v>
      </c>
      <c r="B198" s="38">
        <v>0</v>
      </c>
      <c r="C198" s="38">
        <v>0</v>
      </c>
      <c r="D198" s="4">
        <f t="shared" si="57"/>
        <v>0</v>
      </c>
      <c r="E198" s="11">
        <v>0</v>
      </c>
      <c r="F198" s="5" t="s">
        <v>371</v>
      </c>
      <c r="G198" s="5" t="s">
        <v>371</v>
      </c>
      <c r="H198" s="5" t="s">
        <v>371</v>
      </c>
      <c r="I198" s="5" t="s">
        <v>371</v>
      </c>
      <c r="J198" s="5" t="s">
        <v>371</v>
      </c>
      <c r="K198" s="5" t="s">
        <v>371</v>
      </c>
      <c r="L198" s="5" t="s">
        <v>371</v>
      </c>
      <c r="M198" s="5" t="s">
        <v>371</v>
      </c>
      <c r="N198" s="38">
        <v>245</v>
      </c>
      <c r="O198" s="38">
        <v>87.1</v>
      </c>
      <c r="P198" s="4">
        <f t="shared" si="58"/>
        <v>0.35551020408163264</v>
      </c>
      <c r="Q198" s="11">
        <v>20</v>
      </c>
      <c r="R198" s="11">
        <v>1</v>
      </c>
      <c r="S198" s="11">
        <v>15</v>
      </c>
      <c r="T198" s="38">
        <v>85</v>
      </c>
      <c r="U198" s="38">
        <v>93.2</v>
      </c>
      <c r="V198" s="4">
        <f t="shared" si="59"/>
        <v>1.0964705882352941</v>
      </c>
      <c r="W198" s="11">
        <v>25</v>
      </c>
      <c r="X198" s="38">
        <v>3</v>
      </c>
      <c r="Y198" s="38">
        <v>3.1</v>
      </c>
      <c r="Z198" s="4">
        <f t="shared" si="60"/>
        <v>1.0333333333333334</v>
      </c>
      <c r="AA198" s="11">
        <v>25</v>
      </c>
      <c r="AB198" s="50">
        <f t="shared" si="65"/>
        <v>0.88653296612762744</v>
      </c>
      <c r="AC198" s="50">
        <f t="shared" si="66"/>
        <v>0.88653296612762744</v>
      </c>
      <c r="AD198" s="51">
        <v>1454</v>
      </c>
      <c r="AE198" s="38">
        <f t="shared" si="61"/>
        <v>132.18181818181819</v>
      </c>
      <c r="AF198" s="38">
        <f t="shared" si="62"/>
        <v>117.2</v>
      </c>
      <c r="AG198" s="38">
        <f t="shared" si="56"/>
        <v>-14.981818181818184</v>
      </c>
      <c r="AH198" s="38">
        <v>-5.9</v>
      </c>
      <c r="AI198" s="38">
        <f t="shared" si="63"/>
        <v>111.3</v>
      </c>
      <c r="AJ198" s="38"/>
      <c r="AK198" s="38">
        <f t="shared" si="64"/>
        <v>111.3</v>
      </c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10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10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10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10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10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10"/>
      <c r="GJ198" s="9"/>
      <c r="GK198" s="9"/>
    </row>
    <row r="199" spans="1:193" s="2" customFormat="1" ht="16.95" customHeight="1">
      <c r="A199" s="19" t="s">
        <v>197</v>
      </c>
      <c r="B199" s="7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10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10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10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10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10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10"/>
      <c r="GJ199" s="9"/>
      <c r="GK199" s="9"/>
    </row>
    <row r="200" spans="1:193" s="2" customFormat="1" ht="16.95" customHeight="1">
      <c r="A200" s="14" t="s">
        <v>198</v>
      </c>
      <c r="B200" s="38">
        <v>0</v>
      </c>
      <c r="C200" s="38">
        <v>0</v>
      </c>
      <c r="D200" s="4">
        <f t="shared" si="57"/>
        <v>0</v>
      </c>
      <c r="E200" s="11">
        <v>0</v>
      </c>
      <c r="F200" s="5" t="s">
        <v>371</v>
      </c>
      <c r="G200" s="5" t="s">
        <v>371</v>
      </c>
      <c r="H200" s="5" t="s">
        <v>371</v>
      </c>
      <c r="I200" s="5" t="s">
        <v>371</v>
      </c>
      <c r="J200" s="5" t="s">
        <v>371</v>
      </c>
      <c r="K200" s="5" t="s">
        <v>371</v>
      </c>
      <c r="L200" s="5" t="s">
        <v>371</v>
      </c>
      <c r="M200" s="5" t="s">
        <v>371</v>
      </c>
      <c r="N200" s="38">
        <v>414.4</v>
      </c>
      <c r="O200" s="38">
        <v>199.5</v>
      </c>
      <c r="P200" s="4">
        <f t="shared" si="58"/>
        <v>0.48141891891891897</v>
      </c>
      <c r="Q200" s="11">
        <v>20</v>
      </c>
      <c r="R200" s="11">
        <v>1</v>
      </c>
      <c r="S200" s="11">
        <v>15</v>
      </c>
      <c r="T200" s="38">
        <v>3</v>
      </c>
      <c r="U200" s="38">
        <v>29.2</v>
      </c>
      <c r="V200" s="4">
        <f t="shared" si="59"/>
        <v>9.7333333333333325</v>
      </c>
      <c r="W200" s="11">
        <v>35</v>
      </c>
      <c r="X200" s="38">
        <v>1</v>
      </c>
      <c r="Y200" s="38">
        <v>2.2999999999999998</v>
      </c>
      <c r="Z200" s="4">
        <f t="shared" si="60"/>
        <v>2.2999999999999998</v>
      </c>
      <c r="AA200" s="11">
        <v>15</v>
      </c>
      <c r="AB200" s="50">
        <f t="shared" si="65"/>
        <v>4.7034711181770001</v>
      </c>
      <c r="AC200" s="50">
        <f t="shared" si="66"/>
        <v>1.3</v>
      </c>
      <c r="AD200" s="51">
        <v>1292</v>
      </c>
      <c r="AE200" s="38">
        <f t="shared" si="61"/>
        <v>117.45454545454545</v>
      </c>
      <c r="AF200" s="38">
        <f t="shared" si="62"/>
        <v>152.69999999999999</v>
      </c>
      <c r="AG200" s="38">
        <f t="shared" si="56"/>
        <v>35.245454545454535</v>
      </c>
      <c r="AH200" s="38">
        <v>-3.8</v>
      </c>
      <c r="AI200" s="38">
        <f t="shared" si="63"/>
        <v>148.89999999999998</v>
      </c>
      <c r="AJ200" s="38"/>
      <c r="AK200" s="38">
        <f t="shared" si="64"/>
        <v>148.9</v>
      </c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10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10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10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10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10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10"/>
      <c r="GJ200" s="9"/>
      <c r="GK200" s="9"/>
    </row>
    <row r="201" spans="1:193" s="2" customFormat="1" ht="16.95" customHeight="1">
      <c r="A201" s="14" t="s">
        <v>199</v>
      </c>
      <c r="B201" s="38">
        <v>0</v>
      </c>
      <c r="C201" s="38">
        <v>0</v>
      </c>
      <c r="D201" s="4">
        <f t="shared" si="57"/>
        <v>0</v>
      </c>
      <c r="E201" s="11">
        <v>0</v>
      </c>
      <c r="F201" s="5" t="s">
        <v>371</v>
      </c>
      <c r="G201" s="5" t="s">
        <v>371</v>
      </c>
      <c r="H201" s="5" t="s">
        <v>371</v>
      </c>
      <c r="I201" s="5" t="s">
        <v>371</v>
      </c>
      <c r="J201" s="5" t="s">
        <v>371</v>
      </c>
      <c r="K201" s="5" t="s">
        <v>371</v>
      </c>
      <c r="L201" s="5" t="s">
        <v>371</v>
      </c>
      <c r="M201" s="5" t="s">
        <v>371</v>
      </c>
      <c r="N201" s="38">
        <v>25.3</v>
      </c>
      <c r="O201" s="38">
        <v>107.5</v>
      </c>
      <c r="P201" s="4">
        <f t="shared" si="58"/>
        <v>4.2490118577075098</v>
      </c>
      <c r="Q201" s="11">
        <v>20</v>
      </c>
      <c r="R201" s="11">
        <v>1</v>
      </c>
      <c r="S201" s="11">
        <v>15</v>
      </c>
      <c r="T201" s="38">
        <v>0</v>
      </c>
      <c r="U201" s="38">
        <v>0</v>
      </c>
      <c r="V201" s="4">
        <f t="shared" si="59"/>
        <v>1</v>
      </c>
      <c r="W201" s="11">
        <v>30</v>
      </c>
      <c r="X201" s="38">
        <v>0</v>
      </c>
      <c r="Y201" s="38">
        <v>0</v>
      </c>
      <c r="Z201" s="4">
        <f t="shared" si="60"/>
        <v>1</v>
      </c>
      <c r="AA201" s="11">
        <v>20</v>
      </c>
      <c r="AB201" s="50">
        <f t="shared" si="65"/>
        <v>1.7644733782841198</v>
      </c>
      <c r="AC201" s="50">
        <f t="shared" si="66"/>
        <v>1.256447337828412</v>
      </c>
      <c r="AD201" s="51">
        <v>604</v>
      </c>
      <c r="AE201" s="38">
        <f t="shared" si="61"/>
        <v>54.909090909090907</v>
      </c>
      <c r="AF201" s="38">
        <f t="shared" si="62"/>
        <v>69</v>
      </c>
      <c r="AG201" s="38">
        <f t="shared" si="56"/>
        <v>14.090909090909093</v>
      </c>
      <c r="AH201" s="38">
        <v>0</v>
      </c>
      <c r="AI201" s="38">
        <f t="shared" si="63"/>
        <v>69</v>
      </c>
      <c r="AJ201" s="38">
        <f>MIN($AI201,42.3)</f>
        <v>42.3</v>
      </c>
      <c r="AK201" s="38">
        <f t="shared" si="64"/>
        <v>26.7</v>
      </c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10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10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10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10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10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10"/>
      <c r="GJ201" s="9"/>
      <c r="GK201" s="9"/>
    </row>
    <row r="202" spans="1:193" s="2" customFormat="1" ht="16.95" customHeight="1">
      <c r="A202" s="14" t="s">
        <v>200</v>
      </c>
      <c r="B202" s="38">
        <v>0</v>
      </c>
      <c r="C202" s="38">
        <v>0</v>
      </c>
      <c r="D202" s="4">
        <f t="shared" si="57"/>
        <v>0</v>
      </c>
      <c r="E202" s="11">
        <v>0</v>
      </c>
      <c r="F202" s="5" t="s">
        <v>371</v>
      </c>
      <c r="G202" s="5" t="s">
        <v>371</v>
      </c>
      <c r="H202" s="5" t="s">
        <v>371</v>
      </c>
      <c r="I202" s="5" t="s">
        <v>371</v>
      </c>
      <c r="J202" s="5" t="s">
        <v>371</v>
      </c>
      <c r="K202" s="5" t="s">
        <v>371</v>
      </c>
      <c r="L202" s="5" t="s">
        <v>371</v>
      </c>
      <c r="M202" s="5" t="s">
        <v>371</v>
      </c>
      <c r="N202" s="38">
        <v>334.2</v>
      </c>
      <c r="O202" s="38">
        <v>282.7</v>
      </c>
      <c r="P202" s="4">
        <f t="shared" si="58"/>
        <v>0.84590065828845007</v>
      </c>
      <c r="Q202" s="11">
        <v>20</v>
      </c>
      <c r="R202" s="11">
        <v>1</v>
      </c>
      <c r="S202" s="11">
        <v>15</v>
      </c>
      <c r="T202" s="38">
        <v>58</v>
      </c>
      <c r="U202" s="38">
        <v>74.3</v>
      </c>
      <c r="V202" s="4">
        <f t="shared" si="59"/>
        <v>1.2810344827586206</v>
      </c>
      <c r="W202" s="11">
        <v>30</v>
      </c>
      <c r="X202" s="38">
        <v>7</v>
      </c>
      <c r="Y202" s="38">
        <v>8.5</v>
      </c>
      <c r="Z202" s="4">
        <f t="shared" si="60"/>
        <v>1.2142857142857142</v>
      </c>
      <c r="AA202" s="11">
        <v>20</v>
      </c>
      <c r="AB202" s="50">
        <f t="shared" si="65"/>
        <v>1.1133501404028461</v>
      </c>
      <c r="AC202" s="50">
        <f t="shared" si="66"/>
        <v>1.1133501404028461</v>
      </c>
      <c r="AD202" s="51">
        <v>485</v>
      </c>
      <c r="AE202" s="38">
        <f t="shared" si="61"/>
        <v>44.090909090909093</v>
      </c>
      <c r="AF202" s="38">
        <f t="shared" si="62"/>
        <v>49.1</v>
      </c>
      <c r="AG202" s="38">
        <f t="shared" si="56"/>
        <v>5.0090909090909079</v>
      </c>
      <c r="AH202" s="38">
        <v>-7.9</v>
      </c>
      <c r="AI202" s="38">
        <f t="shared" si="63"/>
        <v>41.2</v>
      </c>
      <c r="AJ202" s="38">
        <f>MIN($AI202,2.1)</f>
        <v>2.1</v>
      </c>
      <c r="AK202" s="38">
        <f t="shared" si="64"/>
        <v>39.1</v>
      </c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10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10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10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10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10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10"/>
      <c r="GJ202" s="9"/>
      <c r="GK202" s="9"/>
    </row>
    <row r="203" spans="1:193" s="2" customFormat="1" ht="16.95" customHeight="1">
      <c r="A203" s="14" t="s">
        <v>201</v>
      </c>
      <c r="B203" s="38">
        <v>0</v>
      </c>
      <c r="C203" s="38">
        <v>0</v>
      </c>
      <c r="D203" s="4">
        <f t="shared" si="57"/>
        <v>0</v>
      </c>
      <c r="E203" s="11">
        <v>0</v>
      </c>
      <c r="F203" s="5" t="s">
        <v>371</v>
      </c>
      <c r="G203" s="5" t="s">
        <v>371</v>
      </c>
      <c r="H203" s="5" t="s">
        <v>371</v>
      </c>
      <c r="I203" s="5" t="s">
        <v>371</v>
      </c>
      <c r="J203" s="5" t="s">
        <v>371</v>
      </c>
      <c r="K203" s="5" t="s">
        <v>371</v>
      </c>
      <c r="L203" s="5" t="s">
        <v>371</v>
      </c>
      <c r="M203" s="5" t="s">
        <v>371</v>
      </c>
      <c r="N203" s="38">
        <v>259.60000000000002</v>
      </c>
      <c r="O203" s="38">
        <v>70.8</v>
      </c>
      <c r="P203" s="4">
        <f t="shared" si="58"/>
        <v>0.27272727272727271</v>
      </c>
      <c r="Q203" s="11">
        <v>20</v>
      </c>
      <c r="R203" s="11">
        <v>1</v>
      </c>
      <c r="S203" s="11">
        <v>15</v>
      </c>
      <c r="T203" s="38">
        <v>0</v>
      </c>
      <c r="U203" s="38">
        <v>0</v>
      </c>
      <c r="V203" s="4">
        <f t="shared" si="59"/>
        <v>1</v>
      </c>
      <c r="W203" s="11">
        <v>30</v>
      </c>
      <c r="X203" s="38">
        <v>0</v>
      </c>
      <c r="Y203" s="38">
        <v>0</v>
      </c>
      <c r="Z203" s="4">
        <f t="shared" si="60"/>
        <v>1</v>
      </c>
      <c r="AA203" s="11">
        <v>20</v>
      </c>
      <c r="AB203" s="50">
        <f t="shared" si="65"/>
        <v>0.82887700534759357</v>
      </c>
      <c r="AC203" s="50">
        <f t="shared" si="66"/>
        <v>0.82887700534759357</v>
      </c>
      <c r="AD203" s="51">
        <v>82</v>
      </c>
      <c r="AE203" s="38">
        <f t="shared" si="61"/>
        <v>7.4545454545454541</v>
      </c>
      <c r="AF203" s="38">
        <f t="shared" si="62"/>
        <v>6.2</v>
      </c>
      <c r="AG203" s="38">
        <f t="shared" si="56"/>
        <v>-1.254545454545454</v>
      </c>
      <c r="AH203" s="38">
        <v>0</v>
      </c>
      <c r="AI203" s="38">
        <f t="shared" si="63"/>
        <v>6.2</v>
      </c>
      <c r="AJ203" s="38"/>
      <c r="AK203" s="38">
        <f t="shared" si="64"/>
        <v>6.2</v>
      </c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10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10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10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10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10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10"/>
      <c r="GJ203" s="9"/>
      <c r="GK203" s="9"/>
    </row>
    <row r="204" spans="1:193" s="2" customFormat="1" ht="16.95" customHeight="1">
      <c r="A204" s="14" t="s">
        <v>202</v>
      </c>
      <c r="B204" s="38">
        <v>0</v>
      </c>
      <c r="C204" s="38">
        <v>0</v>
      </c>
      <c r="D204" s="4">
        <f t="shared" si="57"/>
        <v>0</v>
      </c>
      <c r="E204" s="11">
        <v>0</v>
      </c>
      <c r="F204" s="5" t="s">
        <v>371</v>
      </c>
      <c r="G204" s="5" t="s">
        <v>371</v>
      </c>
      <c r="H204" s="5" t="s">
        <v>371</v>
      </c>
      <c r="I204" s="5" t="s">
        <v>371</v>
      </c>
      <c r="J204" s="5" t="s">
        <v>371</v>
      </c>
      <c r="K204" s="5" t="s">
        <v>371</v>
      </c>
      <c r="L204" s="5" t="s">
        <v>371</v>
      </c>
      <c r="M204" s="5" t="s">
        <v>371</v>
      </c>
      <c r="N204" s="38">
        <v>235.3</v>
      </c>
      <c r="O204" s="38">
        <v>430.2</v>
      </c>
      <c r="P204" s="4">
        <f t="shared" si="58"/>
        <v>1.82830429239269</v>
      </c>
      <c r="Q204" s="11">
        <v>20</v>
      </c>
      <c r="R204" s="11">
        <v>1</v>
      </c>
      <c r="S204" s="11">
        <v>15</v>
      </c>
      <c r="T204" s="38">
        <v>3</v>
      </c>
      <c r="U204" s="38">
        <v>3.1</v>
      </c>
      <c r="V204" s="4">
        <f t="shared" si="59"/>
        <v>1.0333333333333334</v>
      </c>
      <c r="W204" s="11">
        <v>5</v>
      </c>
      <c r="X204" s="38">
        <v>3</v>
      </c>
      <c r="Y204" s="38">
        <v>3.3</v>
      </c>
      <c r="Z204" s="4">
        <f t="shared" si="60"/>
        <v>1.0999999999999999</v>
      </c>
      <c r="AA204" s="11">
        <v>45</v>
      </c>
      <c r="AB204" s="50">
        <f t="shared" si="65"/>
        <v>1.2497970884061229</v>
      </c>
      <c r="AC204" s="50">
        <f t="shared" si="66"/>
        <v>1.2049797088406122</v>
      </c>
      <c r="AD204" s="51">
        <v>1268</v>
      </c>
      <c r="AE204" s="38">
        <f t="shared" si="61"/>
        <v>115.27272727272727</v>
      </c>
      <c r="AF204" s="38">
        <f t="shared" si="62"/>
        <v>138.9</v>
      </c>
      <c r="AG204" s="38">
        <f t="shared" si="56"/>
        <v>23.627272727272739</v>
      </c>
      <c r="AH204" s="38">
        <v>-21.2</v>
      </c>
      <c r="AI204" s="38">
        <f t="shared" si="63"/>
        <v>117.7</v>
      </c>
      <c r="AJ204" s="38"/>
      <c r="AK204" s="38">
        <f t="shared" si="64"/>
        <v>117.7</v>
      </c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10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10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10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10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10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10"/>
      <c r="GJ204" s="9"/>
      <c r="GK204" s="9"/>
    </row>
    <row r="205" spans="1:193" s="2" customFormat="1" ht="16.95" customHeight="1">
      <c r="A205" s="14" t="s">
        <v>203</v>
      </c>
      <c r="B205" s="38">
        <v>254</v>
      </c>
      <c r="C205" s="38">
        <v>192.8</v>
      </c>
      <c r="D205" s="4">
        <f t="shared" si="57"/>
        <v>0.75905511811023629</v>
      </c>
      <c r="E205" s="11">
        <v>10</v>
      </c>
      <c r="F205" s="5" t="s">
        <v>371</v>
      </c>
      <c r="G205" s="5" t="s">
        <v>371</v>
      </c>
      <c r="H205" s="5" t="s">
        <v>371</v>
      </c>
      <c r="I205" s="5" t="s">
        <v>371</v>
      </c>
      <c r="J205" s="5" t="s">
        <v>371</v>
      </c>
      <c r="K205" s="5" t="s">
        <v>371</v>
      </c>
      <c r="L205" s="5" t="s">
        <v>371</v>
      </c>
      <c r="M205" s="5" t="s">
        <v>371</v>
      </c>
      <c r="N205" s="38">
        <v>148.19999999999999</v>
      </c>
      <c r="O205" s="38">
        <v>225.4</v>
      </c>
      <c r="P205" s="4">
        <f t="shared" si="58"/>
        <v>1.5209176788124159</v>
      </c>
      <c r="Q205" s="11">
        <v>20</v>
      </c>
      <c r="R205" s="11">
        <v>1</v>
      </c>
      <c r="S205" s="11">
        <v>15</v>
      </c>
      <c r="T205" s="38">
        <v>18</v>
      </c>
      <c r="U205" s="38">
        <v>20.3</v>
      </c>
      <c r="V205" s="4">
        <f t="shared" si="59"/>
        <v>1.1277777777777778</v>
      </c>
      <c r="W205" s="11">
        <v>35</v>
      </c>
      <c r="X205" s="38">
        <v>3</v>
      </c>
      <c r="Y205" s="38">
        <v>3.6</v>
      </c>
      <c r="Z205" s="4">
        <f t="shared" si="60"/>
        <v>1.2</v>
      </c>
      <c r="AA205" s="11">
        <v>15</v>
      </c>
      <c r="AB205" s="50">
        <f t="shared" si="65"/>
        <v>1.1629592313639254</v>
      </c>
      <c r="AC205" s="50">
        <f t="shared" si="66"/>
        <v>1.1629592313639254</v>
      </c>
      <c r="AD205" s="51">
        <v>3879</v>
      </c>
      <c r="AE205" s="38">
        <f t="shared" si="61"/>
        <v>352.63636363636363</v>
      </c>
      <c r="AF205" s="38">
        <f t="shared" si="62"/>
        <v>410.1</v>
      </c>
      <c r="AG205" s="38">
        <f t="shared" si="56"/>
        <v>57.463636363636397</v>
      </c>
      <c r="AH205" s="38">
        <v>-23</v>
      </c>
      <c r="AI205" s="38">
        <f t="shared" si="63"/>
        <v>387.1</v>
      </c>
      <c r="AJ205" s="38"/>
      <c r="AK205" s="38">
        <f t="shared" si="64"/>
        <v>387.1</v>
      </c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10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10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10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10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10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10"/>
      <c r="GJ205" s="9"/>
      <c r="GK205" s="9"/>
    </row>
    <row r="206" spans="1:193" s="2" customFormat="1" ht="16.95" customHeight="1">
      <c r="A206" s="14" t="s">
        <v>204</v>
      </c>
      <c r="B206" s="38">
        <v>7657</v>
      </c>
      <c r="C206" s="38">
        <v>5672.1</v>
      </c>
      <c r="D206" s="4">
        <f t="shared" si="57"/>
        <v>0.74077314875277533</v>
      </c>
      <c r="E206" s="11">
        <v>10</v>
      </c>
      <c r="F206" s="5" t="s">
        <v>371</v>
      </c>
      <c r="G206" s="5" t="s">
        <v>371</v>
      </c>
      <c r="H206" s="5" t="s">
        <v>371</v>
      </c>
      <c r="I206" s="5" t="s">
        <v>371</v>
      </c>
      <c r="J206" s="5" t="s">
        <v>371</v>
      </c>
      <c r="K206" s="5" t="s">
        <v>371</v>
      </c>
      <c r="L206" s="5" t="s">
        <v>371</v>
      </c>
      <c r="M206" s="5" t="s">
        <v>371</v>
      </c>
      <c r="N206" s="38">
        <v>895.6</v>
      </c>
      <c r="O206" s="38">
        <v>956.9</v>
      </c>
      <c r="P206" s="4">
        <f t="shared" si="58"/>
        <v>1.0684457347029923</v>
      </c>
      <c r="Q206" s="11">
        <v>20</v>
      </c>
      <c r="R206" s="11">
        <v>1</v>
      </c>
      <c r="S206" s="11">
        <v>15</v>
      </c>
      <c r="T206" s="38">
        <v>30</v>
      </c>
      <c r="U206" s="38">
        <v>47.6</v>
      </c>
      <c r="V206" s="4">
        <f t="shared" si="59"/>
        <v>1.5866666666666667</v>
      </c>
      <c r="W206" s="11">
        <v>30</v>
      </c>
      <c r="X206" s="38">
        <v>4</v>
      </c>
      <c r="Y206" s="38">
        <v>4.5</v>
      </c>
      <c r="Z206" s="4">
        <f t="shared" si="60"/>
        <v>1.125</v>
      </c>
      <c r="AA206" s="11">
        <v>20</v>
      </c>
      <c r="AB206" s="50">
        <f t="shared" si="65"/>
        <v>1.1987015387535538</v>
      </c>
      <c r="AC206" s="50">
        <f t="shared" si="66"/>
        <v>1.1987015387535538</v>
      </c>
      <c r="AD206" s="51">
        <v>2268</v>
      </c>
      <c r="AE206" s="38">
        <f t="shared" si="61"/>
        <v>206.18181818181819</v>
      </c>
      <c r="AF206" s="38">
        <f t="shared" si="62"/>
        <v>247.2</v>
      </c>
      <c r="AG206" s="38">
        <f t="shared" si="56"/>
        <v>41.018181818181802</v>
      </c>
      <c r="AH206" s="38">
        <v>109</v>
      </c>
      <c r="AI206" s="38">
        <f t="shared" si="63"/>
        <v>356.2</v>
      </c>
      <c r="AJ206" s="38"/>
      <c r="AK206" s="38">
        <f t="shared" si="64"/>
        <v>356.2</v>
      </c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10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10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10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10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10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10"/>
      <c r="GJ206" s="9"/>
      <c r="GK206" s="9"/>
    </row>
    <row r="207" spans="1:193" s="2" customFormat="1" ht="16.95" customHeight="1">
      <c r="A207" s="14" t="s">
        <v>205</v>
      </c>
      <c r="B207" s="38">
        <v>0</v>
      </c>
      <c r="C207" s="38">
        <v>0</v>
      </c>
      <c r="D207" s="4">
        <f t="shared" si="57"/>
        <v>0</v>
      </c>
      <c r="E207" s="11">
        <v>0</v>
      </c>
      <c r="F207" s="5" t="s">
        <v>371</v>
      </c>
      <c r="G207" s="5" t="s">
        <v>371</v>
      </c>
      <c r="H207" s="5" t="s">
        <v>371</v>
      </c>
      <c r="I207" s="5" t="s">
        <v>371</v>
      </c>
      <c r="J207" s="5" t="s">
        <v>371</v>
      </c>
      <c r="K207" s="5" t="s">
        <v>371</v>
      </c>
      <c r="L207" s="5" t="s">
        <v>371</v>
      </c>
      <c r="M207" s="5" t="s">
        <v>371</v>
      </c>
      <c r="N207" s="38">
        <v>168.7</v>
      </c>
      <c r="O207" s="38">
        <v>118.4</v>
      </c>
      <c r="P207" s="4">
        <f t="shared" si="58"/>
        <v>0.70183758150563136</v>
      </c>
      <c r="Q207" s="11">
        <v>20</v>
      </c>
      <c r="R207" s="11">
        <v>1</v>
      </c>
      <c r="S207" s="11">
        <v>15</v>
      </c>
      <c r="T207" s="38">
        <v>13</v>
      </c>
      <c r="U207" s="38">
        <v>18.5</v>
      </c>
      <c r="V207" s="4">
        <f t="shared" si="59"/>
        <v>1.4230769230769231</v>
      </c>
      <c r="W207" s="11">
        <v>30</v>
      </c>
      <c r="X207" s="38">
        <v>2</v>
      </c>
      <c r="Y207" s="38">
        <v>2</v>
      </c>
      <c r="Z207" s="4">
        <f t="shared" si="60"/>
        <v>1</v>
      </c>
      <c r="AA207" s="11">
        <v>20</v>
      </c>
      <c r="AB207" s="50">
        <f t="shared" si="65"/>
        <v>1.0791654037931802</v>
      </c>
      <c r="AC207" s="50">
        <f t="shared" si="66"/>
        <v>1.0791654037931802</v>
      </c>
      <c r="AD207" s="51">
        <v>155</v>
      </c>
      <c r="AE207" s="38">
        <f t="shared" si="61"/>
        <v>14.090909090909092</v>
      </c>
      <c r="AF207" s="38">
        <f t="shared" si="62"/>
        <v>15.2</v>
      </c>
      <c r="AG207" s="38">
        <f t="shared" si="56"/>
        <v>1.1090909090909076</v>
      </c>
      <c r="AH207" s="38">
        <v>-0.8</v>
      </c>
      <c r="AI207" s="38">
        <f t="shared" si="63"/>
        <v>14.399999999999999</v>
      </c>
      <c r="AJ207" s="38">
        <f>MIN($AI207,0.2)</f>
        <v>0.2</v>
      </c>
      <c r="AK207" s="38">
        <f t="shared" si="64"/>
        <v>14.2</v>
      </c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10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10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10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10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10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10"/>
      <c r="GJ207" s="9"/>
      <c r="GK207" s="9"/>
    </row>
    <row r="208" spans="1:193" s="2" customFormat="1" ht="16.95" customHeight="1">
      <c r="A208" s="14" t="s">
        <v>206</v>
      </c>
      <c r="B208" s="38">
        <v>0</v>
      </c>
      <c r="C208" s="38">
        <v>0</v>
      </c>
      <c r="D208" s="4">
        <f t="shared" si="57"/>
        <v>0</v>
      </c>
      <c r="E208" s="11">
        <v>0</v>
      </c>
      <c r="F208" s="5" t="s">
        <v>371</v>
      </c>
      <c r="G208" s="5" t="s">
        <v>371</v>
      </c>
      <c r="H208" s="5" t="s">
        <v>371</v>
      </c>
      <c r="I208" s="5" t="s">
        <v>371</v>
      </c>
      <c r="J208" s="5" t="s">
        <v>371</v>
      </c>
      <c r="K208" s="5" t="s">
        <v>371</v>
      </c>
      <c r="L208" s="5" t="s">
        <v>371</v>
      </c>
      <c r="M208" s="5" t="s">
        <v>371</v>
      </c>
      <c r="N208" s="38">
        <v>168.2</v>
      </c>
      <c r="O208" s="38">
        <v>109.1</v>
      </c>
      <c r="P208" s="4">
        <f t="shared" si="58"/>
        <v>0.64863258026159332</v>
      </c>
      <c r="Q208" s="11">
        <v>20</v>
      </c>
      <c r="R208" s="11">
        <v>1</v>
      </c>
      <c r="S208" s="11">
        <v>15</v>
      </c>
      <c r="T208" s="38">
        <v>1</v>
      </c>
      <c r="U208" s="38">
        <v>1.7</v>
      </c>
      <c r="V208" s="4">
        <f t="shared" si="59"/>
        <v>1.7</v>
      </c>
      <c r="W208" s="11">
        <v>30</v>
      </c>
      <c r="X208" s="38">
        <v>1</v>
      </c>
      <c r="Y208" s="38">
        <v>0.5</v>
      </c>
      <c r="Z208" s="4">
        <f t="shared" si="60"/>
        <v>0.5</v>
      </c>
      <c r="AA208" s="11">
        <v>20</v>
      </c>
      <c r="AB208" s="50">
        <f t="shared" si="65"/>
        <v>1.0467370777086102</v>
      </c>
      <c r="AC208" s="50">
        <f t="shared" si="66"/>
        <v>1.0467370777086102</v>
      </c>
      <c r="AD208" s="51">
        <v>336</v>
      </c>
      <c r="AE208" s="38">
        <f t="shared" si="61"/>
        <v>30.545454545454547</v>
      </c>
      <c r="AF208" s="38">
        <f t="shared" si="62"/>
        <v>32</v>
      </c>
      <c r="AG208" s="38">
        <f t="shared" si="56"/>
        <v>1.4545454545454533</v>
      </c>
      <c r="AH208" s="38">
        <v>-2.6</v>
      </c>
      <c r="AI208" s="38">
        <f t="shared" si="63"/>
        <v>29.4</v>
      </c>
      <c r="AJ208" s="38"/>
      <c r="AK208" s="38">
        <f t="shared" si="64"/>
        <v>29.4</v>
      </c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10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10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10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10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10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10"/>
      <c r="GJ208" s="9"/>
      <c r="GK208" s="9"/>
    </row>
    <row r="209" spans="1:193" s="2" customFormat="1" ht="16.95" customHeight="1">
      <c r="A209" s="14" t="s">
        <v>207</v>
      </c>
      <c r="B209" s="38">
        <v>176</v>
      </c>
      <c r="C209" s="38">
        <v>0</v>
      </c>
      <c r="D209" s="4">
        <f t="shared" si="57"/>
        <v>0</v>
      </c>
      <c r="E209" s="11">
        <v>10</v>
      </c>
      <c r="F209" s="5" t="s">
        <v>371</v>
      </c>
      <c r="G209" s="5" t="s">
        <v>371</v>
      </c>
      <c r="H209" s="5" t="s">
        <v>371</v>
      </c>
      <c r="I209" s="5" t="s">
        <v>371</v>
      </c>
      <c r="J209" s="5" t="s">
        <v>371</v>
      </c>
      <c r="K209" s="5" t="s">
        <v>371</v>
      </c>
      <c r="L209" s="5" t="s">
        <v>371</v>
      </c>
      <c r="M209" s="5" t="s">
        <v>371</v>
      </c>
      <c r="N209" s="38">
        <v>542.5</v>
      </c>
      <c r="O209" s="38">
        <v>299.7</v>
      </c>
      <c r="P209" s="4">
        <f t="shared" si="58"/>
        <v>0.552442396313364</v>
      </c>
      <c r="Q209" s="11">
        <v>20</v>
      </c>
      <c r="R209" s="11">
        <v>1</v>
      </c>
      <c r="S209" s="11">
        <v>15</v>
      </c>
      <c r="T209" s="38">
        <v>165</v>
      </c>
      <c r="U209" s="38">
        <v>157.9</v>
      </c>
      <c r="V209" s="4">
        <f t="shared" si="59"/>
        <v>0.95696969696969703</v>
      </c>
      <c r="W209" s="11">
        <v>35</v>
      </c>
      <c r="X209" s="38">
        <v>5</v>
      </c>
      <c r="Y209" s="38">
        <v>0.8</v>
      </c>
      <c r="Z209" s="4">
        <f t="shared" si="60"/>
        <v>0.16</v>
      </c>
      <c r="AA209" s="11">
        <v>15</v>
      </c>
      <c r="AB209" s="50">
        <f t="shared" si="65"/>
        <v>0.65202934021270187</v>
      </c>
      <c r="AC209" s="50">
        <f t="shared" si="66"/>
        <v>0.65202934021270187</v>
      </c>
      <c r="AD209" s="51">
        <v>2718</v>
      </c>
      <c r="AE209" s="38">
        <f t="shared" si="61"/>
        <v>247.09090909090909</v>
      </c>
      <c r="AF209" s="38">
        <f t="shared" si="62"/>
        <v>161.1</v>
      </c>
      <c r="AG209" s="38">
        <f t="shared" si="56"/>
        <v>-85.990909090909099</v>
      </c>
      <c r="AH209" s="38">
        <v>-24</v>
      </c>
      <c r="AI209" s="38">
        <f t="shared" si="63"/>
        <v>137.1</v>
      </c>
      <c r="AJ209" s="38"/>
      <c r="AK209" s="38">
        <f t="shared" si="64"/>
        <v>137.1</v>
      </c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10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10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10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10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10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10"/>
      <c r="GJ209" s="9"/>
      <c r="GK209" s="9"/>
    </row>
    <row r="210" spans="1:193" s="2" customFormat="1" ht="16.95" customHeight="1">
      <c r="A210" s="14" t="s">
        <v>208</v>
      </c>
      <c r="B210" s="38">
        <v>0</v>
      </c>
      <c r="C210" s="38">
        <v>0</v>
      </c>
      <c r="D210" s="4">
        <f t="shared" si="57"/>
        <v>0</v>
      </c>
      <c r="E210" s="11">
        <v>0</v>
      </c>
      <c r="F210" s="5" t="s">
        <v>371</v>
      </c>
      <c r="G210" s="5" t="s">
        <v>371</v>
      </c>
      <c r="H210" s="5" t="s">
        <v>371</v>
      </c>
      <c r="I210" s="5" t="s">
        <v>371</v>
      </c>
      <c r="J210" s="5" t="s">
        <v>371</v>
      </c>
      <c r="K210" s="5" t="s">
        <v>371</v>
      </c>
      <c r="L210" s="5" t="s">
        <v>371</v>
      </c>
      <c r="M210" s="5" t="s">
        <v>371</v>
      </c>
      <c r="N210" s="38">
        <v>49.2</v>
      </c>
      <c r="O210" s="38">
        <v>45.7</v>
      </c>
      <c r="P210" s="4">
        <f t="shared" si="58"/>
        <v>0.92886178861788615</v>
      </c>
      <c r="Q210" s="11">
        <v>20</v>
      </c>
      <c r="R210" s="11">
        <v>1</v>
      </c>
      <c r="S210" s="11">
        <v>15</v>
      </c>
      <c r="T210" s="38">
        <v>3</v>
      </c>
      <c r="U210" s="38">
        <v>9</v>
      </c>
      <c r="V210" s="4">
        <f t="shared" si="59"/>
        <v>3</v>
      </c>
      <c r="W210" s="11">
        <v>35</v>
      </c>
      <c r="X210" s="38">
        <v>0</v>
      </c>
      <c r="Y210" s="38">
        <v>0</v>
      </c>
      <c r="Z210" s="4">
        <f t="shared" si="60"/>
        <v>1</v>
      </c>
      <c r="AA210" s="11">
        <v>15</v>
      </c>
      <c r="AB210" s="50">
        <f t="shared" si="65"/>
        <v>1.8067910090865613</v>
      </c>
      <c r="AC210" s="50">
        <f t="shared" si="66"/>
        <v>1.2606791009086562</v>
      </c>
      <c r="AD210" s="51">
        <v>669</v>
      </c>
      <c r="AE210" s="38">
        <f t="shared" si="61"/>
        <v>60.81818181818182</v>
      </c>
      <c r="AF210" s="38">
        <f t="shared" si="62"/>
        <v>76.7</v>
      </c>
      <c r="AG210" s="38">
        <f t="shared" si="56"/>
        <v>15.881818181818183</v>
      </c>
      <c r="AH210" s="38">
        <v>-2.2999999999999998</v>
      </c>
      <c r="AI210" s="38">
        <f t="shared" si="63"/>
        <v>74.400000000000006</v>
      </c>
      <c r="AJ210" s="38"/>
      <c r="AK210" s="38">
        <f t="shared" si="64"/>
        <v>74.400000000000006</v>
      </c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10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10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10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10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10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10"/>
      <c r="GJ210" s="9"/>
      <c r="GK210" s="9"/>
    </row>
    <row r="211" spans="1:193" s="2" customFormat="1" ht="16.95" customHeight="1">
      <c r="A211" s="14" t="s">
        <v>209</v>
      </c>
      <c r="B211" s="38">
        <v>0</v>
      </c>
      <c r="C211" s="38">
        <v>0</v>
      </c>
      <c r="D211" s="4">
        <f t="shared" si="57"/>
        <v>0</v>
      </c>
      <c r="E211" s="11">
        <v>0</v>
      </c>
      <c r="F211" s="5" t="s">
        <v>371</v>
      </c>
      <c r="G211" s="5" t="s">
        <v>371</v>
      </c>
      <c r="H211" s="5" t="s">
        <v>371</v>
      </c>
      <c r="I211" s="5" t="s">
        <v>371</v>
      </c>
      <c r="J211" s="5" t="s">
        <v>371</v>
      </c>
      <c r="K211" s="5" t="s">
        <v>371</v>
      </c>
      <c r="L211" s="5" t="s">
        <v>371</v>
      </c>
      <c r="M211" s="5" t="s">
        <v>371</v>
      </c>
      <c r="N211" s="38">
        <v>56.3</v>
      </c>
      <c r="O211" s="38">
        <v>65.900000000000006</v>
      </c>
      <c r="P211" s="4">
        <f t="shared" si="58"/>
        <v>1.1705150976909415</v>
      </c>
      <c r="Q211" s="11">
        <v>20</v>
      </c>
      <c r="R211" s="11">
        <v>1</v>
      </c>
      <c r="S211" s="11">
        <v>15</v>
      </c>
      <c r="T211" s="38">
        <v>0</v>
      </c>
      <c r="U211" s="38">
        <v>0</v>
      </c>
      <c r="V211" s="4">
        <f t="shared" si="59"/>
        <v>1</v>
      </c>
      <c r="W211" s="11">
        <v>35</v>
      </c>
      <c r="X211" s="38">
        <v>0</v>
      </c>
      <c r="Y211" s="38">
        <v>0</v>
      </c>
      <c r="Z211" s="4">
        <f t="shared" si="60"/>
        <v>1</v>
      </c>
      <c r="AA211" s="11">
        <v>15</v>
      </c>
      <c r="AB211" s="50">
        <f t="shared" si="65"/>
        <v>1.0401211994566921</v>
      </c>
      <c r="AC211" s="50">
        <f t="shared" si="66"/>
        <v>1.0401211994566921</v>
      </c>
      <c r="AD211" s="51">
        <v>574</v>
      </c>
      <c r="AE211" s="38">
        <f t="shared" si="61"/>
        <v>52.18181818181818</v>
      </c>
      <c r="AF211" s="38">
        <f t="shared" si="62"/>
        <v>54.3</v>
      </c>
      <c r="AG211" s="38">
        <f t="shared" si="56"/>
        <v>2.1181818181818173</v>
      </c>
      <c r="AH211" s="38">
        <v>-4.5</v>
      </c>
      <c r="AI211" s="38">
        <f t="shared" si="63"/>
        <v>49.8</v>
      </c>
      <c r="AJ211" s="38"/>
      <c r="AK211" s="38">
        <f t="shared" si="64"/>
        <v>49.8</v>
      </c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10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10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10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10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10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10"/>
      <c r="GJ211" s="9"/>
      <c r="GK211" s="9"/>
    </row>
    <row r="212" spans="1:193" s="2" customFormat="1" ht="16.95" customHeight="1">
      <c r="A212" s="19" t="s">
        <v>210</v>
      </c>
      <c r="B212" s="7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10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10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10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10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10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10"/>
      <c r="GJ212" s="9"/>
      <c r="GK212" s="9"/>
    </row>
    <row r="213" spans="1:193" s="2" customFormat="1" ht="16.95" customHeight="1">
      <c r="A213" s="53" t="s">
        <v>211</v>
      </c>
      <c r="B213" s="38">
        <v>0</v>
      </c>
      <c r="C213" s="38">
        <v>825</v>
      </c>
      <c r="D213" s="4">
        <f t="shared" si="57"/>
        <v>0</v>
      </c>
      <c r="E213" s="11">
        <v>0</v>
      </c>
      <c r="F213" s="5" t="s">
        <v>371</v>
      </c>
      <c r="G213" s="5" t="s">
        <v>371</v>
      </c>
      <c r="H213" s="5" t="s">
        <v>371</v>
      </c>
      <c r="I213" s="5" t="s">
        <v>371</v>
      </c>
      <c r="J213" s="5" t="s">
        <v>371</v>
      </c>
      <c r="K213" s="5" t="s">
        <v>371</v>
      </c>
      <c r="L213" s="5" t="s">
        <v>371</v>
      </c>
      <c r="M213" s="5" t="s">
        <v>371</v>
      </c>
      <c r="N213" s="38">
        <v>360.9</v>
      </c>
      <c r="O213" s="38">
        <v>164.4</v>
      </c>
      <c r="P213" s="4">
        <f t="shared" si="58"/>
        <v>0.45552784704904409</v>
      </c>
      <c r="Q213" s="11">
        <v>20</v>
      </c>
      <c r="R213" s="11">
        <v>1</v>
      </c>
      <c r="S213" s="11">
        <v>15</v>
      </c>
      <c r="T213" s="38">
        <v>140</v>
      </c>
      <c r="U213" s="38">
        <v>49.7</v>
      </c>
      <c r="V213" s="4">
        <f t="shared" si="59"/>
        <v>0.35500000000000004</v>
      </c>
      <c r="W213" s="11">
        <v>15</v>
      </c>
      <c r="X213" s="38">
        <v>2</v>
      </c>
      <c r="Y213" s="38">
        <v>8.1999999999999993</v>
      </c>
      <c r="Z213" s="4">
        <f t="shared" si="60"/>
        <v>4.0999999999999996</v>
      </c>
      <c r="AA213" s="11">
        <v>35</v>
      </c>
      <c r="AB213" s="50">
        <f t="shared" si="65"/>
        <v>2.0345359640115399</v>
      </c>
      <c r="AC213" s="50">
        <f t="shared" si="66"/>
        <v>1.283453596401154</v>
      </c>
      <c r="AD213" s="51">
        <v>829</v>
      </c>
      <c r="AE213" s="38">
        <f t="shared" si="61"/>
        <v>75.36363636363636</v>
      </c>
      <c r="AF213" s="38">
        <f t="shared" si="62"/>
        <v>96.7</v>
      </c>
      <c r="AG213" s="38">
        <f t="shared" si="56"/>
        <v>21.336363636363643</v>
      </c>
      <c r="AH213" s="38">
        <v>0</v>
      </c>
      <c r="AI213" s="38">
        <f t="shared" si="63"/>
        <v>96.7</v>
      </c>
      <c r="AJ213" s="38"/>
      <c r="AK213" s="38">
        <f t="shared" si="64"/>
        <v>96.7</v>
      </c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10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10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10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10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10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10"/>
      <c r="GJ213" s="9"/>
      <c r="GK213" s="9"/>
    </row>
    <row r="214" spans="1:193" s="2" customFormat="1" ht="16.95" customHeight="1">
      <c r="A214" s="53" t="s">
        <v>212</v>
      </c>
      <c r="B214" s="38">
        <v>0</v>
      </c>
      <c r="C214" s="38">
        <v>0</v>
      </c>
      <c r="D214" s="4">
        <f t="shared" si="57"/>
        <v>0</v>
      </c>
      <c r="E214" s="11">
        <v>0</v>
      </c>
      <c r="F214" s="5" t="s">
        <v>371</v>
      </c>
      <c r="G214" s="5" t="s">
        <v>371</v>
      </c>
      <c r="H214" s="5" t="s">
        <v>371</v>
      </c>
      <c r="I214" s="5" t="s">
        <v>371</v>
      </c>
      <c r="J214" s="5" t="s">
        <v>371</v>
      </c>
      <c r="K214" s="5" t="s">
        <v>371</v>
      </c>
      <c r="L214" s="5" t="s">
        <v>371</v>
      </c>
      <c r="M214" s="5" t="s">
        <v>371</v>
      </c>
      <c r="N214" s="38">
        <v>157.30000000000001</v>
      </c>
      <c r="O214" s="38">
        <v>248.5</v>
      </c>
      <c r="P214" s="4">
        <f t="shared" si="58"/>
        <v>1.5797838525111252</v>
      </c>
      <c r="Q214" s="11">
        <v>20</v>
      </c>
      <c r="R214" s="11">
        <v>1</v>
      </c>
      <c r="S214" s="11">
        <v>15</v>
      </c>
      <c r="T214" s="38">
        <v>8</v>
      </c>
      <c r="U214" s="38">
        <v>8.6999999999999993</v>
      </c>
      <c r="V214" s="4">
        <f t="shared" si="59"/>
        <v>1.0874999999999999</v>
      </c>
      <c r="W214" s="11">
        <v>20</v>
      </c>
      <c r="X214" s="38">
        <v>0.3</v>
      </c>
      <c r="Y214" s="38">
        <v>0.3</v>
      </c>
      <c r="Z214" s="4">
        <f t="shared" si="60"/>
        <v>1</v>
      </c>
      <c r="AA214" s="11">
        <v>30</v>
      </c>
      <c r="AB214" s="50">
        <f t="shared" si="65"/>
        <v>1.1570079652967353</v>
      </c>
      <c r="AC214" s="50">
        <f t="shared" si="66"/>
        <v>1.1570079652967353</v>
      </c>
      <c r="AD214" s="51">
        <v>2050</v>
      </c>
      <c r="AE214" s="38">
        <f t="shared" si="61"/>
        <v>186.36363636363637</v>
      </c>
      <c r="AF214" s="38">
        <f t="shared" si="62"/>
        <v>215.6</v>
      </c>
      <c r="AG214" s="38">
        <f t="shared" si="56"/>
        <v>29.23636363636362</v>
      </c>
      <c r="AH214" s="38">
        <v>-22.5</v>
      </c>
      <c r="AI214" s="38">
        <f t="shared" si="63"/>
        <v>193.1</v>
      </c>
      <c r="AJ214" s="38"/>
      <c r="AK214" s="38">
        <f t="shared" si="64"/>
        <v>193.1</v>
      </c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10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10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10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10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10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10"/>
      <c r="GJ214" s="9"/>
      <c r="GK214" s="9"/>
    </row>
    <row r="215" spans="1:193" s="2" customFormat="1" ht="16.95" customHeight="1">
      <c r="A215" s="53" t="s">
        <v>213</v>
      </c>
      <c r="B215" s="38">
        <v>132213</v>
      </c>
      <c r="C215" s="38">
        <v>76524.800000000003</v>
      </c>
      <c r="D215" s="4">
        <f t="shared" si="57"/>
        <v>0.57879936163614776</v>
      </c>
      <c r="E215" s="11">
        <v>10</v>
      </c>
      <c r="F215" s="5" t="s">
        <v>371</v>
      </c>
      <c r="G215" s="5" t="s">
        <v>371</v>
      </c>
      <c r="H215" s="5" t="s">
        <v>371</v>
      </c>
      <c r="I215" s="5" t="s">
        <v>371</v>
      </c>
      <c r="J215" s="5" t="s">
        <v>371</v>
      </c>
      <c r="K215" s="5" t="s">
        <v>371</v>
      </c>
      <c r="L215" s="5" t="s">
        <v>371</v>
      </c>
      <c r="M215" s="5" t="s">
        <v>371</v>
      </c>
      <c r="N215" s="38">
        <v>1505.3</v>
      </c>
      <c r="O215" s="38">
        <v>2390.1</v>
      </c>
      <c r="P215" s="4">
        <f t="shared" si="58"/>
        <v>1.5877898093403309</v>
      </c>
      <c r="Q215" s="11">
        <v>20</v>
      </c>
      <c r="R215" s="11">
        <v>1</v>
      </c>
      <c r="S215" s="11">
        <v>15</v>
      </c>
      <c r="T215" s="38">
        <v>0.1</v>
      </c>
      <c r="U215" s="38">
        <v>0.1</v>
      </c>
      <c r="V215" s="4">
        <f t="shared" si="59"/>
        <v>1</v>
      </c>
      <c r="W215" s="11">
        <v>5</v>
      </c>
      <c r="X215" s="38">
        <v>0.4</v>
      </c>
      <c r="Y215" s="38">
        <v>0.4</v>
      </c>
      <c r="Z215" s="4">
        <f t="shared" si="60"/>
        <v>1</v>
      </c>
      <c r="AA215" s="11">
        <v>45</v>
      </c>
      <c r="AB215" s="50">
        <f t="shared" si="65"/>
        <v>1.079408313717559</v>
      </c>
      <c r="AC215" s="50">
        <f t="shared" si="66"/>
        <v>1.079408313717559</v>
      </c>
      <c r="AD215" s="51">
        <v>1257</v>
      </c>
      <c r="AE215" s="38">
        <f t="shared" si="61"/>
        <v>114.27272727272727</v>
      </c>
      <c r="AF215" s="38">
        <f t="shared" si="62"/>
        <v>123.3</v>
      </c>
      <c r="AG215" s="38">
        <f t="shared" si="56"/>
        <v>9.0272727272727309</v>
      </c>
      <c r="AH215" s="38">
        <v>-8</v>
      </c>
      <c r="AI215" s="38">
        <f t="shared" si="63"/>
        <v>115.3</v>
      </c>
      <c r="AJ215" s="38">
        <f>MIN($AI215,274.3)</f>
        <v>115.3</v>
      </c>
      <c r="AK215" s="38">
        <f t="shared" si="64"/>
        <v>0</v>
      </c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10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10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10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10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10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10"/>
      <c r="GJ215" s="9"/>
      <c r="GK215" s="9"/>
    </row>
    <row r="216" spans="1:193" s="2" customFormat="1" ht="16.95" customHeight="1">
      <c r="A216" s="53" t="s">
        <v>214</v>
      </c>
      <c r="B216" s="38">
        <v>0</v>
      </c>
      <c r="C216" s="38">
        <v>725</v>
      </c>
      <c r="D216" s="4">
        <f t="shared" si="57"/>
        <v>0</v>
      </c>
      <c r="E216" s="11">
        <v>0</v>
      </c>
      <c r="F216" s="5" t="s">
        <v>371</v>
      </c>
      <c r="G216" s="5" t="s">
        <v>371</v>
      </c>
      <c r="H216" s="5" t="s">
        <v>371</v>
      </c>
      <c r="I216" s="5" t="s">
        <v>371</v>
      </c>
      <c r="J216" s="5" t="s">
        <v>371</v>
      </c>
      <c r="K216" s="5" t="s">
        <v>371</v>
      </c>
      <c r="L216" s="5" t="s">
        <v>371</v>
      </c>
      <c r="M216" s="5" t="s">
        <v>371</v>
      </c>
      <c r="N216" s="38">
        <v>126</v>
      </c>
      <c r="O216" s="38">
        <v>182.5</v>
      </c>
      <c r="P216" s="4">
        <f t="shared" si="58"/>
        <v>1.4484126984126984</v>
      </c>
      <c r="Q216" s="11">
        <v>20</v>
      </c>
      <c r="R216" s="11">
        <v>1</v>
      </c>
      <c r="S216" s="11">
        <v>15</v>
      </c>
      <c r="T216" s="38">
        <v>8</v>
      </c>
      <c r="U216" s="38">
        <v>9</v>
      </c>
      <c r="V216" s="4">
        <f t="shared" si="59"/>
        <v>1.125</v>
      </c>
      <c r="W216" s="11">
        <v>30</v>
      </c>
      <c r="X216" s="38">
        <v>0.4</v>
      </c>
      <c r="Y216" s="38">
        <v>0.4</v>
      </c>
      <c r="Z216" s="4">
        <f t="shared" si="60"/>
        <v>1</v>
      </c>
      <c r="AA216" s="11">
        <v>20</v>
      </c>
      <c r="AB216" s="50">
        <f t="shared" si="65"/>
        <v>1.1496265172735762</v>
      </c>
      <c r="AC216" s="50">
        <f t="shared" si="66"/>
        <v>1.1496265172735762</v>
      </c>
      <c r="AD216" s="51">
        <v>1408</v>
      </c>
      <c r="AE216" s="38">
        <f t="shared" si="61"/>
        <v>128</v>
      </c>
      <c r="AF216" s="38">
        <f t="shared" si="62"/>
        <v>147.19999999999999</v>
      </c>
      <c r="AG216" s="38">
        <f t="shared" si="56"/>
        <v>19.199999999999989</v>
      </c>
      <c r="AH216" s="38">
        <v>-35.4</v>
      </c>
      <c r="AI216" s="38">
        <f t="shared" si="63"/>
        <v>111.79999999999998</v>
      </c>
      <c r="AJ216" s="38"/>
      <c r="AK216" s="38">
        <f t="shared" si="64"/>
        <v>111.8</v>
      </c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10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10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10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10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10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10"/>
      <c r="GJ216" s="9"/>
      <c r="GK216" s="9"/>
    </row>
    <row r="217" spans="1:193" s="2" customFormat="1" ht="16.95" customHeight="1">
      <c r="A217" s="53" t="s">
        <v>215</v>
      </c>
      <c r="B217" s="38">
        <v>79685</v>
      </c>
      <c r="C217" s="38">
        <v>52480.7</v>
      </c>
      <c r="D217" s="4">
        <f t="shared" si="57"/>
        <v>0.65860199535671704</v>
      </c>
      <c r="E217" s="11">
        <v>10</v>
      </c>
      <c r="F217" s="5" t="s">
        <v>371</v>
      </c>
      <c r="G217" s="5" t="s">
        <v>371</v>
      </c>
      <c r="H217" s="5" t="s">
        <v>371</v>
      </c>
      <c r="I217" s="5" t="s">
        <v>371</v>
      </c>
      <c r="J217" s="5" t="s">
        <v>371</v>
      </c>
      <c r="K217" s="5" t="s">
        <v>371</v>
      </c>
      <c r="L217" s="5" t="s">
        <v>371</v>
      </c>
      <c r="M217" s="5" t="s">
        <v>371</v>
      </c>
      <c r="N217" s="38">
        <v>10814.9</v>
      </c>
      <c r="O217" s="38">
        <v>10584.8</v>
      </c>
      <c r="P217" s="4">
        <f t="shared" si="58"/>
        <v>0.97872379772351104</v>
      </c>
      <c r="Q217" s="11">
        <v>20</v>
      </c>
      <c r="R217" s="11">
        <v>1</v>
      </c>
      <c r="S217" s="11">
        <v>15</v>
      </c>
      <c r="T217" s="38">
        <v>145</v>
      </c>
      <c r="U217" s="38">
        <v>197</v>
      </c>
      <c r="V217" s="4">
        <f t="shared" si="59"/>
        <v>1.3586206896551725</v>
      </c>
      <c r="W217" s="11">
        <v>40</v>
      </c>
      <c r="X217" s="38">
        <v>10</v>
      </c>
      <c r="Y217" s="38">
        <v>10.1</v>
      </c>
      <c r="Z217" s="4">
        <f t="shared" si="60"/>
        <v>1.01</v>
      </c>
      <c r="AA217" s="11">
        <v>10</v>
      </c>
      <c r="AB217" s="50">
        <f t="shared" si="65"/>
        <v>1.1116349841499398</v>
      </c>
      <c r="AC217" s="50">
        <f t="shared" si="66"/>
        <v>1.1116349841499398</v>
      </c>
      <c r="AD217" s="51">
        <v>2184</v>
      </c>
      <c r="AE217" s="38">
        <f t="shared" si="61"/>
        <v>198.54545454545453</v>
      </c>
      <c r="AF217" s="38">
        <f t="shared" si="62"/>
        <v>220.7</v>
      </c>
      <c r="AG217" s="38">
        <f t="shared" si="56"/>
        <v>22.154545454545456</v>
      </c>
      <c r="AH217" s="38">
        <v>33.700000000000003</v>
      </c>
      <c r="AI217" s="38">
        <f t="shared" si="63"/>
        <v>254.39999999999998</v>
      </c>
      <c r="AJ217" s="38"/>
      <c r="AK217" s="38">
        <f t="shared" si="64"/>
        <v>254.4</v>
      </c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10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10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10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10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10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10"/>
      <c r="GJ217" s="9"/>
      <c r="GK217" s="9"/>
    </row>
    <row r="218" spans="1:193" s="2" customFormat="1" ht="16.95" customHeight="1">
      <c r="A218" s="53" t="s">
        <v>216</v>
      </c>
      <c r="B218" s="38">
        <v>6016</v>
      </c>
      <c r="C218" s="38">
        <v>5954</v>
      </c>
      <c r="D218" s="4">
        <f t="shared" si="57"/>
        <v>0.98969414893617025</v>
      </c>
      <c r="E218" s="11">
        <v>10</v>
      </c>
      <c r="F218" s="5" t="s">
        <v>371</v>
      </c>
      <c r="G218" s="5" t="s">
        <v>371</v>
      </c>
      <c r="H218" s="5" t="s">
        <v>371</v>
      </c>
      <c r="I218" s="5" t="s">
        <v>371</v>
      </c>
      <c r="J218" s="5" t="s">
        <v>371</v>
      </c>
      <c r="K218" s="5" t="s">
        <v>371</v>
      </c>
      <c r="L218" s="5" t="s">
        <v>371</v>
      </c>
      <c r="M218" s="5" t="s">
        <v>371</v>
      </c>
      <c r="N218" s="38">
        <v>719.6</v>
      </c>
      <c r="O218" s="38">
        <v>1053</v>
      </c>
      <c r="P218" s="4">
        <f t="shared" si="58"/>
        <v>1.4633129516397998</v>
      </c>
      <c r="Q218" s="11">
        <v>20</v>
      </c>
      <c r="R218" s="11">
        <v>1</v>
      </c>
      <c r="S218" s="11">
        <v>15</v>
      </c>
      <c r="T218" s="38">
        <v>0.1</v>
      </c>
      <c r="U218" s="38">
        <v>0.1</v>
      </c>
      <c r="V218" s="4">
        <f t="shared" si="59"/>
        <v>1</v>
      </c>
      <c r="W218" s="11">
        <v>15</v>
      </c>
      <c r="X218" s="38">
        <v>0.5</v>
      </c>
      <c r="Y218" s="38">
        <v>0.6</v>
      </c>
      <c r="Z218" s="4">
        <f t="shared" si="60"/>
        <v>1.2</v>
      </c>
      <c r="AA218" s="11">
        <v>35</v>
      </c>
      <c r="AB218" s="50">
        <f t="shared" si="65"/>
        <v>1.1701389528648178</v>
      </c>
      <c r="AC218" s="50">
        <f t="shared" si="66"/>
        <v>1.1701389528648178</v>
      </c>
      <c r="AD218" s="51">
        <v>3457</v>
      </c>
      <c r="AE218" s="38">
        <f t="shared" si="61"/>
        <v>314.27272727272725</v>
      </c>
      <c r="AF218" s="38">
        <f t="shared" si="62"/>
        <v>367.7</v>
      </c>
      <c r="AG218" s="38">
        <f t="shared" si="56"/>
        <v>53.427272727272737</v>
      </c>
      <c r="AH218" s="38">
        <v>2</v>
      </c>
      <c r="AI218" s="38">
        <f t="shared" si="63"/>
        <v>369.7</v>
      </c>
      <c r="AJ218" s="38"/>
      <c r="AK218" s="38">
        <f t="shared" si="64"/>
        <v>369.7</v>
      </c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10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10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10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10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10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10"/>
      <c r="GJ218" s="9"/>
      <c r="GK218" s="9"/>
    </row>
    <row r="219" spans="1:193" s="2" customFormat="1" ht="16.95" customHeight="1">
      <c r="A219" s="53" t="s">
        <v>217</v>
      </c>
      <c r="B219" s="38">
        <v>331054</v>
      </c>
      <c r="C219" s="38">
        <v>383600.5</v>
      </c>
      <c r="D219" s="4">
        <f t="shared" si="57"/>
        <v>1.1587248605967606</v>
      </c>
      <c r="E219" s="11">
        <v>10</v>
      </c>
      <c r="F219" s="5" t="s">
        <v>371</v>
      </c>
      <c r="G219" s="5" t="s">
        <v>371</v>
      </c>
      <c r="H219" s="5" t="s">
        <v>371</v>
      </c>
      <c r="I219" s="5" t="s">
        <v>371</v>
      </c>
      <c r="J219" s="5" t="s">
        <v>371</v>
      </c>
      <c r="K219" s="5" t="s">
        <v>371</v>
      </c>
      <c r="L219" s="5" t="s">
        <v>371</v>
      </c>
      <c r="M219" s="5" t="s">
        <v>371</v>
      </c>
      <c r="N219" s="38">
        <v>2095.6</v>
      </c>
      <c r="O219" s="38">
        <v>2297.1999999999998</v>
      </c>
      <c r="P219" s="4">
        <f t="shared" si="58"/>
        <v>1.0962015651841954</v>
      </c>
      <c r="Q219" s="11">
        <v>20</v>
      </c>
      <c r="R219" s="11">
        <v>1</v>
      </c>
      <c r="S219" s="11">
        <v>15</v>
      </c>
      <c r="T219" s="38">
        <v>2</v>
      </c>
      <c r="U219" s="38">
        <v>3.1</v>
      </c>
      <c r="V219" s="4">
        <f t="shared" si="59"/>
        <v>1.55</v>
      </c>
      <c r="W219" s="11">
        <v>30</v>
      </c>
      <c r="X219" s="38">
        <v>4</v>
      </c>
      <c r="Y219" s="38">
        <v>4.9000000000000004</v>
      </c>
      <c r="Z219" s="4">
        <f t="shared" si="60"/>
        <v>1.2250000000000001</v>
      </c>
      <c r="AA219" s="11">
        <v>20</v>
      </c>
      <c r="AB219" s="50">
        <f t="shared" si="65"/>
        <v>1.2580134727331738</v>
      </c>
      <c r="AC219" s="50">
        <f t="shared" si="66"/>
        <v>1.2058013472733173</v>
      </c>
      <c r="AD219" s="51">
        <v>896</v>
      </c>
      <c r="AE219" s="38">
        <f t="shared" si="61"/>
        <v>81.454545454545453</v>
      </c>
      <c r="AF219" s="38">
        <f t="shared" si="62"/>
        <v>98.2</v>
      </c>
      <c r="AG219" s="38">
        <f t="shared" si="56"/>
        <v>16.74545454545455</v>
      </c>
      <c r="AH219" s="38">
        <v>-1.4</v>
      </c>
      <c r="AI219" s="38">
        <f t="shared" si="63"/>
        <v>96.8</v>
      </c>
      <c r="AJ219" s="38">
        <f>MIN($AI219,44.5)</f>
        <v>44.5</v>
      </c>
      <c r="AK219" s="38">
        <f t="shared" si="64"/>
        <v>52.3</v>
      </c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10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10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10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10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10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10"/>
      <c r="GJ219" s="9"/>
      <c r="GK219" s="9"/>
    </row>
    <row r="220" spans="1:193" s="2" customFormat="1" ht="16.95" customHeight="1">
      <c r="A220" s="53" t="s">
        <v>218</v>
      </c>
      <c r="B220" s="38">
        <v>58487</v>
      </c>
      <c r="C220" s="38">
        <v>23371.1</v>
      </c>
      <c r="D220" s="4">
        <f t="shared" si="57"/>
        <v>0.39959478174637098</v>
      </c>
      <c r="E220" s="11">
        <v>10</v>
      </c>
      <c r="F220" s="5" t="s">
        <v>371</v>
      </c>
      <c r="G220" s="5" t="s">
        <v>371</v>
      </c>
      <c r="H220" s="5" t="s">
        <v>371</v>
      </c>
      <c r="I220" s="5" t="s">
        <v>371</v>
      </c>
      <c r="J220" s="5" t="s">
        <v>371</v>
      </c>
      <c r="K220" s="5" t="s">
        <v>371</v>
      </c>
      <c r="L220" s="5" t="s">
        <v>371</v>
      </c>
      <c r="M220" s="5" t="s">
        <v>371</v>
      </c>
      <c r="N220" s="38">
        <v>372.1</v>
      </c>
      <c r="O220" s="38">
        <v>641.29999999999995</v>
      </c>
      <c r="P220" s="4">
        <f t="shared" si="58"/>
        <v>1.7234614350980917</v>
      </c>
      <c r="Q220" s="11">
        <v>20</v>
      </c>
      <c r="R220" s="11">
        <v>1</v>
      </c>
      <c r="S220" s="11">
        <v>15</v>
      </c>
      <c r="T220" s="38">
        <v>25</v>
      </c>
      <c r="U220" s="38">
        <v>15.5</v>
      </c>
      <c r="V220" s="4">
        <f t="shared" si="59"/>
        <v>0.62</v>
      </c>
      <c r="W220" s="11">
        <v>30</v>
      </c>
      <c r="X220" s="38">
        <v>0.5</v>
      </c>
      <c r="Y220" s="38">
        <v>2.8</v>
      </c>
      <c r="Z220" s="4">
        <f t="shared" si="60"/>
        <v>5.6</v>
      </c>
      <c r="AA220" s="11">
        <v>20</v>
      </c>
      <c r="AB220" s="50">
        <f t="shared" si="65"/>
        <v>1.9375281738886898</v>
      </c>
      <c r="AC220" s="50">
        <f t="shared" si="66"/>
        <v>1.273752817388869</v>
      </c>
      <c r="AD220" s="51">
        <v>3320</v>
      </c>
      <c r="AE220" s="38">
        <f t="shared" si="61"/>
        <v>301.81818181818181</v>
      </c>
      <c r="AF220" s="38">
        <f t="shared" si="62"/>
        <v>384.4</v>
      </c>
      <c r="AG220" s="38">
        <f t="shared" si="56"/>
        <v>82.581818181818164</v>
      </c>
      <c r="AH220" s="38">
        <v>27.4</v>
      </c>
      <c r="AI220" s="38">
        <f t="shared" si="63"/>
        <v>411.79999999999995</v>
      </c>
      <c r="AJ220" s="38"/>
      <c r="AK220" s="38">
        <f t="shared" si="64"/>
        <v>411.8</v>
      </c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10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10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10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10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10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10"/>
      <c r="GJ220" s="9"/>
      <c r="GK220" s="9"/>
    </row>
    <row r="221" spans="1:193" s="2" customFormat="1" ht="16.95" customHeight="1">
      <c r="A221" s="53" t="s">
        <v>219</v>
      </c>
      <c r="B221" s="38">
        <v>138760</v>
      </c>
      <c r="C221" s="38">
        <v>99335.2</v>
      </c>
      <c r="D221" s="4">
        <f t="shared" si="57"/>
        <v>0.71587777457480539</v>
      </c>
      <c r="E221" s="11">
        <v>10</v>
      </c>
      <c r="F221" s="5" t="s">
        <v>371</v>
      </c>
      <c r="G221" s="5" t="s">
        <v>371</v>
      </c>
      <c r="H221" s="5" t="s">
        <v>371</v>
      </c>
      <c r="I221" s="5" t="s">
        <v>371</v>
      </c>
      <c r="J221" s="5" t="s">
        <v>371</v>
      </c>
      <c r="K221" s="5" t="s">
        <v>371</v>
      </c>
      <c r="L221" s="5" t="s">
        <v>371</v>
      </c>
      <c r="M221" s="5" t="s">
        <v>371</v>
      </c>
      <c r="N221" s="38">
        <v>3396.5</v>
      </c>
      <c r="O221" s="38">
        <v>1814.7</v>
      </c>
      <c r="P221" s="4">
        <f t="shared" si="58"/>
        <v>0.53428529368467537</v>
      </c>
      <c r="Q221" s="11">
        <v>20</v>
      </c>
      <c r="R221" s="11">
        <v>1</v>
      </c>
      <c r="S221" s="11">
        <v>15</v>
      </c>
      <c r="T221" s="38">
        <v>20</v>
      </c>
      <c r="U221" s="38">
        <v>186.6</v>
      </c>
      <c r="V221" s="4">
        <f t="shared" si="59"/>
        <v>9.33</v>
      </c>
      <c r="W221" s="11">
        <v>10</v>
      </c>
      <c r="X221" s="38">
        <v>300</v>
      </c>
      <c r="Y221" s="38">
        <v>380.8</v>
      </c>
      <c r="Z221" s="4">
        <f t="shared" si="60"/>
        <v>1.2693333333333334</v>
      </c>
      <c r="AA221" s="11">
        <v>40</v>
      </c>
      <c r="AB221" s="50">
        <f t="shared" si="65"/>
        <v>1.8622928100292095</v>
      </c>
      <c r="AC221" s="50">
        <f t="shared" si="66"/>
        <v>1.266229281002921</v>
      </c>
      <c r="AD221" s="51">
        <v>202</v>
      </c>
      <c r="AE221" s="38">
        <f t="shared" si="61"/>
        <v>18.363636363636363</v>
      </c>
      <c r="AF221" s="38">
        <f t="shared" si="62"/>
        <v>23.3</v>
      </c>
      <c r="AG221" s="38">
        <f t="shared" si="56"/>
        <v>4.9363636363636374</v>
      </c>
      <c r="AH221" s="38">
        <v>-3.6</v>
      </c>
      <c r="AI221" s="38">
        <f t="shared" si="63"/>
        <v>19.7</v>
      </c>
      <c r="AJ221" s="38">
        <f>MIN($AI221,25.5)</f>
        <v>19.7</v>
      </c>
      <c r="AK221" s="38">
        <f t="shared" si="64"/>
        <v>0</v>
      </c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10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10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10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10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10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10"/>
      <c r="GJ221" s="9"/>
      <c r="GK221" s="9"/>
    </row>
    <row r="222" spans="1:193" s="2" customFormat="1" ht="16.95" customHeight="1">
      <c r="A222" s="53" t="s">
        <v>220</v>
      </c>
      <c r="B222" s="38">
        <v>0</v>
      </c>
      <c r="C222" s="38">
        <v>0</v>
      </c>
      <c r="D222" s="4">
        <f t="shared" si="57"/>
        <v>0</v>
      </c>
      <c r="E222" s="11">
        <v>0</v>
      </c>
      <c r="F222" s="5" t="s">
        <v>371</v>
      </c>
      <c r="G222" s="5" t="s">
        <v>371</v>
      </c>
      <c r="H222" s="5" t="s">
        <v>371</v>
      </c>
      <c r="I222" s="5" t="s">
        <v>371</v>
      </c>
      <c r="J222" s="5" t="s">
        <v>371</v>
      </c>
      <c r="K222" s="5" t="s">
        <v>371</v>
      </c>
      <c r="L222" s="5" t="s">
        <v>371</v>
      </c>
      <c r="M222" s="5" t="s">
        <v>371</v>
      </c>
      <c r="N222" s="38">
        <v>100.4</v>
      </c>
      <c r="O222" s="38">
        <v>136.1</v>
      </c>
      <c r="P222" s="4">
        <f t="shared" si="58"/>
        <v>1.3555776892430278</v>
      </c>
      <c r="Q222" s="11">
        <v>20</v>
      </c>
      <c r="R222" s="11">
        <v>1</v>
      </c>
      <c r="S222" s="11">
        <v>15</v>
      </c>
      <c r="T222" s="38">
        <v>6</v>
      </c>
      <c r="U222" s="38">
        <v>3.7</v>
      </c>
      <c r="V222" s="4">
        <f t="shared" si="59"/>
        <v>0.6166666666666667</v>
      </c>
      <c r="W222" s="11">
        <v>25</v>
      </c>
      <c r="X222" s="38">
        <v>0.3</v>
      </c>
      <c r="Y222" s="38">
        <v>0.5</v>
      </c>
      <c r="Z222" s="4">
        <f t="shared" si="60"/>
        <v>1.6666666666666667</v>
      </c>
      <c r="AA222" s="11">
        <v>25</v>
      </c>
      <c r="AB222" s="50">
        <f t="shared" si="65"/>
        <v>1.1669986719787517</v>
      </c>
      <c r="AC222" s="50">
        <f t="shared" si="66"/>
        <v>1.1669986719787517</v>
      </c>
      <c r="AD222" s="51">
        <v>771</v>
      </c>
      <c r="AE222" s="38">
        <f t="shared" si="61"/>
        <v>70.090909090909093</v>
      </c>
      <c r="AF222" s="38">
        <f t="shared" si="62"/>
        <v>81.8</v>
      </c>
      <c r="AG222" s="38">
        <f t="shared" si="56"/>
        <v>11.709090909090904</v>
      </c>
      <c r="AH222" s="38">
        <v>-5.2</v>
      </c>
      <c r="AI222" s="38">
        <f t="shared" si="63"/>
        <v>76.599999999999994</v>
      </c>
      <c r="AJ222" s="38"/>
      <c r="AK222" s="38">
        <f t="shared" si="64"/>
        <v>76.599999999999994</v>
      </c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10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10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10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10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10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10"/>
      <c r="GJ222" s="9"/>
      <c r="GK222" s="9"/>
    </row>
    <row r="223" spans="1:193" s="2" customFormat="1" ht="16.95" customHeight="1">
      <c r="A223" s="53" t="s">
        <v>221</v>
      </c>
      <c r="B223" s="38">
        <v>997</v>
      </c>
      <c r="C223" s="38">
        <v>1106.7</v>
      </c>
      <c r="D223" s="4">
        <f t="shared" si="57"/>
        <v>1.1100300902708125</v>
      </c>
      <c r="E223" s="11">
        <v>10</v>
      </c>
      <c r="F223" s="5" t="s">
        <v>371</v>
      </c>
      <c r="G223" s="5" t="s">
        <v>371</v>
      </c>
      <c r="H223" s="5" t="s">
        <v>371</v>
      </c>
      <c r="I223" s="5" t="s">
        <v>371</v>
      </c>
      <c r="J223" s="5" t="s">
        <v>371</v>
      </c>
      <c r="K223" s="5" t="s">
        <v>371</v>
      </c>
      <c r="L223" s="5" t="s">
        <v>371</v>
      </c>
      <c r="M223" s="5" t="s">
        <v>371</v>
      </c>
      <c r="N223" s="38">
        <v>604.4</v>
      </c>
      <c r="O223" s="38">
        <v>1027.8</v>
      </c>
      <c r="P223" s="4">
        <f t="shared" si="58"/>
        <v>1.700529450694904</v>
      </c>
      <c r="Q223" s="11">
        <v>20</v>
      </c>
      <c r="R223" s="11">
        <v>1</v>
      </c>
      <c r="S223" s="11">
        <v>15</v>
      </c>
      <c r="T223" s="38">
        <v>40</v>
      </c>
      <c r="U223" s="38">
        <v>39.700000000000003</v>
      </c>
      <c r="V223" s="4">
        <f t="shared" si="59"/>
        <v>0.99250000000000005</v>
      </c>
      <c r="W223" s="11">
        <v>15</v>
      </c>
      <c r="X223" s="38">
        <v>125.1</v>
      </c>
      <c r="Y223" s="38">
        <v>149</v>
      </c>
      <c r="Z223" s="4">
        <f t="shared" si="60"/>
        <v>1.1910471622701839</v>
      </c>
      <c r="AA223" s="11">
        <v>35</v>
      </c>
      <c r="AB223" s="50">
        <f t="shared" si="65"/>
        <v>1.2282635852217121</v>
      </c>
      <c r="AC223" s="50">
        <f t="shared" si="66"/>
        <v>1.2028263585221712</v>
      </c>
      <c r="AD223" s="51">
        <v>2227</v>
      </c>
      <c r="AE223" s="38">
        <f t="shared" si="61"/>
        <v>202.45454545454547</v>
      </c>
      <c r="AF223" s="38">
        <f t="shared" si="62"/>
        <v>243.5</v>
      </c>
      <c r="AG223" s="38">
        <f t="shared" si="56"/>
        <v>41.045454545454533</v>
      </c>
      <c r="AH223" s="38">
        <v>-30.9</v>
      </c>
      <c r="AI223" s="38">
        <f t="shared" si="63"/>
        <v>212.6</v>
      </c>
      <c r="AJ223" s="38"/>
      <c r="AK223" s="38">
        <f t="shared" si="64"/>
        <v>212.6</v>
      </c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10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10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10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10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10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10"/>
      <c r="GJ223" s="9"/>
      <c r="GK223" s="9"/>
    </row>
    <row r="224" spans="1:193" s="2" customFormat="1" ht="16.95" customHeight="1">
      <c r="A224" s="53" t="s">
        <v>222</v>
      </c>
      <c r="B224" s="38">
        <v>0</v>
      </c>
      <c r="C224" s="38">
        <v>18108</v>
      </c>
      <c r="D224" s="4">
        <f t="shared" si="57"/>
        <v>0</v>
      </c>
      <c r="E224" s="11">
        <v>0</v>
      </c>
      <c r="F224" s="5" t="s">
        <v>371</v>
      </c>
      <c r="G224" s="5" t="s">
        <v>371</v>
      </c>
      <c r="H224" s="5" t="s">
        <v>371</v>
      </c>
      <c r="I224" s="5" t="s">
        <v>371</v>
      </c>
      <c r="J224" s="5" t="s">
        <v>371</v>
      </c>
      <c r="K224" s="5" t="s">
        <v>371</v>
      </c>
      <c r="L224" s="5" t="s">
        <v>371</v>
      </c>
      <c r="M224" s="5" t="s">
        <v>371</v>
      </c>
      <c r="N224" s="38">
        <v>1533.4</v>
      </c>
      <c r="O224" s="38">
        <v>1193.2</v>
      </c>
      <c r="P224" s="4">
        <f t="shared" si="58"/>
        <v>0.77814008086604924</v>
      </c>
      <c r="Q224" s="11">
        <v>20</v>
      </c>
      <c r="R224" s="11">
        <v>1</v>
      </c>
      <c r="S224" s="11">
        <v>15</v>
      </c>
      <c r="T224" s="38">
        <v>60</v>
      </c>
      <c r="U224" s="38">
        <v>26.8</v>
      </c>
      <c r="V224" s="4">
        <f t="shared" si="59"/>
        <v>0.44666666666666666</v>
      </c>
      <c r="W224" s="11">
        <v>30</v>
      </c>
      <c r="X224" s="38">
        <v>6</v>
      </c>
      <c r="Y224" s="38">
        <v>3.4</v>
      </c>
      <c r="Z224" s="4">
        <f t="shared" si="60"/>
        <v>0.56666666666666665</v>
      </c>
      <c r="AA224" s="11">
        <v>20</v>
      </c>
      <c r="AB224" s="50">
        <f t="shared" si="65"/>
        <v>0.65054276412534495</v>
      </c>
      <c r="AC224" s="50">
        <f t="shared" si="66"/>
        <v>0.65054276412534495</v>
      </c>
      <c r="AD224" s="51">
        <v>554</v>
      </c>
      <c r="AE224" s="38">
        <f t="shared" si="61"/>
        <v>50.363636363636367</v>
      </c>
      <c r="AF224" s="38">
        <f t="shared" si="62"/>
        <v>32.799999999999997</v>
      </c>
      <c r="AG224" s="38">
        <f t="shared" si="56"/>
        <v>-17.56363636363637</v>
      </c>
      <c r="AH224" s="38">
        <v>-6</v>
      </c>
      <c r="AI224" s="38">
        <f t="shared" si="63"/>
        <v>26.799999999999997</v>
      </c>
      <c r="AJ224" s="38"/>
      <c r="AK224" s="38">
        <f t="shared" si="64"/>
        <v>26.8</v>
      </c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10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10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10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10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10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10"/>
      <c r="GJ224" s="9"/>
      <c r="GK224" s="9"/>
    </row>
    <row r="225" spans="1:193" s="2" customFormat="1" ht="16.95" customHeight="1">
      <c r="A225" s="53" t="s">
        <v>223</v>
      </c>
      <c r="B225" s="38">
        <v>0</v>
      </c>
      <c r="C225" s="38">
        <v>0</v>
      </c>
      <c r="D225" s="4">
        <f t="shared" si="57"/>
        <v>0</v>
      </c>
      <c r="E225" s="11">
        <v>0</v>
      </c>
      <c r="F225" s="5" t="s">
        <v>371</v>
      </c>
      <c r="G225" s="5" t="s">
        <v>371</v>
      </c>
      <c r="H225" s="5" t="s">
        <v>371</v>
      </c>
      <c r="I225" s="5" t="s">
        <v>371</v>
      </c>
      <c r="J225" s="5" t="s">
        <v>371</v>
      </c>
      <c r="K225" s="5" t="s">
        <v>371</v>
      </c>
      <c r="L225" s="5" t="s">
        <v>371</v>
      </c>
      <c r="M225" s="5" t="s">
        <v>371</v>
      </c>
      <c r="N225" s="38">
        <v>77.3</v>
      </c>
      <c r="O225" s="38">
        <v>90.9</v>
      </c>
      <c r="P225" s="4">
        <f t="shared" si="58"/>
        <v>1.1759379042690816</v>
      </c>
      <c r="Q225" s="11">
        <v>20</v>
      </c>
      <c r="R225" s="11">
        <v>1</v>
      </c>
      <c r="S225" s="11">
        <v>15</v>
      </c>
      <c r="T225" s="38">
        <v>180</v>
      </c>
      <c r="U225" s="38">
        <v>143.19999999999999</v>
      </c>
      <c r="V225" s="4">
        <f t="shared" si="59"/>
        <v>0.79555555555555546</v>
      </c>
      <c r="W225" s="11">
        <v>40</v>
      </c>
      <c r="X225" s="38">
        <v>3</v>
      </c>
      <c r="Y225" s="38">
        <v>6.6</v>
      </c>
      <c r="Z225" s="4">
        <f t="shared" si="60"/>
        <v>2.1999999999999997</v>
      </c>
      <c r="AA225" s="11">
        <v>10</v>
      </c>
      <c r="AB225" s="50">
        <f t="shared" si="65"/>
        <v>1.0863644742071041</v>
      </c>
      <c r="AC225" s="50">
        <f t="shared" si="66"/>
        <v>1.0863644742071041</v>
      </c>
      <c r="AD225" s="51">
        <v>520</v>
      </c>
      <c r="AE225" s="38">
        <f t="shared" si="61"/>
        <v>47.272727272727273</v>
      </c>
      <c r="AF225" s="38">
        <f t="shared" si="62"/>
        <v>51.4</v>
      </c>
      <c r="AG225" s="38">
        <f t="shared" si="56"/>
        <v>4.1272727272727252</v>
      </c>
      <c r="AH225" s="38">
        <v>-4.7</v>
      </c>
      <c r="AI225" s="38">
        <f t="shared" si="63"/>
        <v>46.699999999999996</v>
      </c>
      <c r="AJ225" s="38"/>
      <c r="AK225" s="38">
        <f t="shared" si="64"/>
        <v>46.7</v>
      </c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10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10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10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10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10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10"/>
      <c r="GJ225" s="9"/>
      <c r="GK225" s="9"/>
    </row>
    <row r="226" spans="1:193" s="2" customFormat="1" ht="16.95" customHeight="1">
      <c r="A226" s="19" t="s">
        <v>224</v>
      </c>
      <c r="B226" s="7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10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10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10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10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10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10"/>
      <c r="GJ226" s="9"/>
      <c r="GK226" s="9"/>
    </row>
    <row r="227" spans="1:193" s="2" customFormat="1" ht="16.95" customHeight="1">
      <c r="A227" s="14" t="s">
        <v>225</v>
      </c>
      <c r="B227" s="38">
        <v>0</v>
      </c>
      <c r="C227" s="38">
        <v>0</v>
      </c>
      <c r="D227" s="4">
        <f t="shared" si="57"/>
        <v>0</v>
      </c>
      <c r="E227" s="11">
        <v>0</v>
      </c>
      <c r="F227" s="5" t="s">
        <v>371</v>
      </c>
      <c r="G227" s="5" t="s">
        <v>371</v>
      </c>
      <c r="H227" s="5" t="s">
        <v>371</v>
      </c>
      <c r="I227" s="5" t="s">
        <v>371</v>
      </c>
      <c r="J227" s="5" t="s">
        <v>371</v>
      </c>
      <c r="K227" s="5" t="s">
        <v>371</v>
      </c>
      <c r="L227" s="5" t="s">
        <v>371</v>
      </c>
      <c r="M227" s="5" t="s">
        <v>371</v>
      </c>
      <c r="N227" s="38">
        <v>140.1</v>
      </c>
      <c r="O227" s="38">
        <v>231.1</v>
      </c>
      <c r="P227" s="4">
        <f t="shared" si="58"/>
        <v>1.6495360456816559</v>
      </c>
      <c r="Q227" s="11">
        <v>20</v>
      </c>
      <c r="R227" s="11">
        <v>1</v>
      </c>
      <c r="S227" s="11">
        <v>15</v>
      </c>
      <c r="T227" s="38">
        <v>0</v>
      </c>
      <c r="U227" s="38">
        <v>1.9</v>
      </c>
      <c r="V227" s="4">
        <f t="shared" si="59"/>
        <v>1</v>
      </c>
      <c r="W227" s="11">
        <v>20</v>
      </c>
      <c r="X227" s="38">
        <v>0</v>
      </c>
      <c r="Y227" s="38">
        <v>2.5</v>
      </c>
      <c r="Z227" s="4">
        <f t="shared" si="60"/>
        <v>1</v>
      </c>
      <c r="AA227" s="11">
        <v>30</v>
      </c>
      <c r="AB227" s="50">
        <f t="shared" si="65"/>
        <v>1.1528320107486247</v>
      </c>
      <c r="AC227" s="50">
        <f t="shared" si="66"/>
        <v>1.1528320107486247</v>
      </c>
      <c r="AD227" s="51">
        <v>1294</v>
      </c>
      <c r="AE227" s="38">
        <f t="shared" si="61"/>
        <v>117.63636363636364</v>
      </c>
      <c r="AF227" s="38">
        <f t="shared" si="62"/>
        <v>135.6</v>
      </c>
      <c r="AG227" s="38">
        <f t="shared" si="56"/>
        <v>17.963636363636354</v>
      </c>
      <c r="AH227" s="38">
        <v>-2.9</v>
      </c>
      <c r="AI227" s="38">
        <f t="shared" si="63"/>
        <v>132.69999999999999</v>
      </c>
      <c r="AJ227" s="38"/>
      <c r="AK227" s="38">
        <f t="shared" si="64"/>
        <v>132.69999999999999</v>
      </c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10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10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10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10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10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10"/>
      <c r="GJ227" s="9"/>
      <c r="GK227" s="9"/>
    </row>
    <row r="228" spans="1:193" s="2" customFormat="1" ht="16.95" customHeight="1">
      <c r="A228" s="14" t="s">
        <v>149</v>
      </c>
      <c r="B228" s="38">
        <v>0</v>
      </c>
      <c r="C228" s="38">
        <v>0</v>
      </c>
      <c r="D228" s="4">
        <f t="shared" si="57"/>
        <v>0</v>
      </c>
      <c r="E228" s="11">
        <v>0</v>
      </c>
      <c r="F228" s="5" t="s">
        <v>371</v>
      </c>
      <c r="G228" s="5" t="s">
        <v>371</v>
      </c>
      <c r="H228" s="5" t="s">
        <v>371</v>
      </c>
      <c r="I228" s="5" t="s">
        <v>371</v>
      </c>
      <c r="J228" s="5" t="s">
        <v>371</v>
      </c>
      <c r="K228" s="5" t="s">
        <v>371</v>
      </c>
      <c r="L228" s="5" t="s">
        <v>371</v>
      </c>
      <c r="M228" s="5" t="s">
        <v>371</v>
      </c>
      <c r="N228" s="38">
        <v>160.6</v>
      </c>
      <c r="O228" s="38">
        <v>114.1</v>
      </c>
      <c r="P228" s="4">
        <f t="shared" si="58"/>
        <v>0.71046077210460767</v>
      </c>
      <c r="Q228" s="11">
        <v>20</v>
      </c>
      <c r="R228" s="11">
        <v>1</v>
      </c>
      <c r="S228" s="11">
        <v>15</v>
      </c>
      <c r="T228" s="38">
        <v>37</v>
      </c>
      <c r="U228" s="38">
        <v>49.9</v>
      </c>
      <c r="V228" s="4">
        <f t="shared" si="59"/>
        <v>1.3486486486486486</v>
      </c>
      <c r="W228" s="11">
        <v>30</v>
      </c>
      <c r="X228" s="38">
        <v>3</v>
      </c>
      <c r="Y228" s="38">
        <v>3</v>
      </c>
      <c r="Z228" s="4">
        <f t="shared" si="60"/>
        <v>1</v>
      </c>
      <c r="AA228" s="11">
        <v>20</v>
      </c>
      <c r="AB228" s="50">
        <f t="shared" si="65"/>
        <v>1.0549255870770777</v>
      </c>
      <c r="AC228" s="50">
        <f t="shared" si="66"/>
        <v>1.0549255870770777</v>
      </c>
      <c r="AD228" s="51">
        <v>1032</v>
      </c>
      <c r="AE228" s="38">
        <f t="shared" si="61"/>
        <v>93.818181818181813</v>
      </c>
      <c r="AF228" s="38">
        <f t="shared" si="62"/>
        <v>99</v>
      </c>
      <c r="AG228" s="38">
        <f t="shared" si="56"/>
        <v>5.181818181818187</v>
      </c>
      <c r="AH228" s="38">
        <v>3.5</v>
      </c>
      <c r="AI228" s="38">
        <f t="shared" si="63"/>
        <v>102.5</v>
      </c>
      <c r="AJ228" s="38"/>
      <c r="AK228" s="38">
        <f t="shared" si="64"/>
        <v>102.5</v>
      </c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10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10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10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10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10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10"/>
      <c r="GJ228" s="9"/>
      <c r="GK228" s="9"/>
    </row>
    <row r="229" spans="1:193" s="2" customFormat="1" ht="16.95" customHeight="1">
      <c r="A229" s="14" t="s">
        <v>226</v>
      </c>
      <c r="B229" s="38">
        <v>0</v>
      </c>
      <c r="C229" s="38">
        <v>0</v>
      </c>
      <c r="D229" s="4">
        <f t="shared" si="57"/>
        <v>0</v>
      </c>
      <c r="E229" s="11">
        <v>0</v>
      </c>
      <c r="F229" s="5" t="s">
        <v>371</v>
      </c>
      <c r="G229" s="5" t="s">
        <v>371</v>
      </c>
      <c r="H229" s="5" t="s">
        <v>371</v>
      </c>
      <c r="I229" s="5" t="s">
        <v>371</v>
      </c>
      <c r="J229" s="5" t="s">
        <v>371</v>
      </c>
      <c r="K229" s="5" t="s">
        <v>371</v>
      </c>
      <c r="L229" s="5" t="s">
        <v>371</v>
      </c>
      <c r="M229" s="5" t="s">
        <v>371</v>
      </c>
      <c r="N229" s="38">
        <v>83</v>
      </c>
      <c r="O229" s="38">
        <v>108.6</v>
      </c>
      <c r="P229" s="4">
        <f t="shared" si="58"/>
        <v>1.308433734939759</v>
      </c>
      <c r="Q229" s="11">
        <v>20</v>
      </c>
      <c r="R229" s="11">
        <v>1</v>
      </c>
      <c r="S229" s="11">
        <v>15</v>
      </c>
      <c r="T229" s="38">
        <v>35</v>
      </c>
      <c r="U229" s="38">
        <v>58.6</v>
      </c>
      <c r="V229" s="4">
        <f t="shared" si="59"/>
        <v>1.6742857142857144</v>
      </c>
      <c r="W229" s="11">
        <v>15</v>
      </c>
      <c r="X229" s="38">
        <v>3</v>
      </c>
      <c r="Y229" s="38">
        <v>3</v>
      </c>
      <c r="Z229" s="4">
        <f t="shared" si="60"/>
        <v>1</v>
      </c>
      <c r="AA229" s="11">
        <v>35</v>
      </c>
      <c r="AB229" s="50">
        <f t="shared" si="65"/>
        <v>1.1915642401538928</v>
      </c>
      <c r="AC229" s="50">
        <f t="shared" si="66"/>
        <v>1.1915642401538928</v>
      </c>
      <c r="AD229" s="51">
        <v>1586</v>
      </c>
      <c r="AE229" s="38">
        <f t="shared" si="61"/>
        <v>144.18181818181819</v>
      </c>
      <c r="AF229" s="38">
        <f t="shared" si="62"/>
        <v>171.8</v>
      </c>
      <c r="AG229" s="38">
        <f t="shared" si="56"/>
        <v>27.618181818181824</v>
      </c>
      <c r="AH229" s="38">
        <v>10.6</v>
      </c>
      <c r="AI229" s="38">
        <f t="shared" si="63"/>
        <v>182.4</v>
      </c>
      <c r="AJ229" s="38"/>
      <c r="AK229" s="38">
        <f t="shared" si="64"/>
        <v>182.4</v>
      </c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10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10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10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10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10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10"/>
      <c r="GJ229" s="9"/>
      <c r="GK229" s="9"/>
    </row>
    <row r="230" spans="1:193" s="2" customFormat="1" ht="16.95" customHeight="1">
      <c r="A230" s="14" t="s">
        <v>227</v>
      </c>
      <c r="B230" s="38">
        <v>0</v>
      </c>
      <c r="C230" s="38">
        <v>0</v>
      </c>
      <c r="D230" s="4">
        <f t="shared" si="57"/>
        <v>0</v>
      </c>
      <c r="E230" s="11">
        <v>0</v>
      </c>
      <c r="F230" s="5" t="s">
        <v>371</v>
      </c>
      <c r="G230" s="5" t="s">
        <v>371</v>
      </c>
      <c r="H230" s="5" t="s">
        <v>371</v>
      </c>
      <c r="I230" s="5" t="s">
        <v>371</v>
      </c>
      <c r="J230" s="5" t="s">
        <v>371</v>
      </c>
      <c r="K230" s="5" t="s">
        <v>371</v>
      </c>
      <c r="L230" s="5" t="s">
        <v>371</v>
      </c>
      <c r="M230" s="5" t="s">
        <v>371</v>
      </c>
      <c r="N230" s="38">
        <v>58.8</v>
      </c>
      <c r="O230" s="38">
        <v>162.19999999999999</v>
      </c>
      <c r="P230" s="4">
        <f t="shared" si="58"/>
        <v>2.7585034013605441</v>
      </c>
      <c r="Q230" s="11">
        <v>20</v>
      </c>
      <c r="R230" s="11">
        <v>1</v>
      </c>
      <c r="S230" s="11">
        <v>15</v>
      </c>
      <c r="T230" s="38">
        <v>5</v>
      </c>
      <c r="U230" s="38">
        <v>8.3000000000000007</v>
      </c>
      <c r="V230" s="4">
        <f t="shared" si="59"/>
        <v>1.6600000000000001</v>
      </c>
      <c r="W230" s="11">
        <v>25</v>
      </c>
      <c r="X230" s="38">
        <v>1</v>
      </c>
      <c r="Y230" s="38">
        <v>0.6</v>
      </c>
      <c r="Z230" s="4">
        <f t="shared" si="60"/>
        <v>0.6</v>
      </c>
      <c r="AA230" s="11">
        <v>25</v>
      </c>
      <c r="AB230" s="50">
        <f t="shared" si="65"/>
        <v>1.490236094437775</v>
      </c>
      <c r="AC230" s="50">
        <f t="shared" si="66"/>
        <v>1.2290236094437774</v>
      </c>
      <c r="AD230" s="51">
        <v>1549</v>
      </c>
      <c r="AE230" s="38">
        <f t="shared" si="61"/>
        <v>140.81818181818181</v>
      </c>
      <c r="AF230" s="38">
        <f t="shared" si="62"/>
        <v>173.1</v>
      </c>
      <c r="AG230" s="38">
        <f t="shared" si="56"/>
        <v>32.281818181818181</v>
      </c>
      <c r="AH230" s="38">
        <v>30.1</v>
      </c>
      <c r="AI230" s="38">
        <f t="shared" si="63"/>
        <v>203.2</v>
      </c>
      <c r="AJ230" s="38"/>
      <c r="AK230" s="38">
        <f t="shared" si="64"/>
        <v>203.2</v>
      </c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10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10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10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10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10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10"/>
      <c r="GJ230" s="9"/>
      <c r="GK230" s="9"/>
    </row>
    <row r="231" spans="1:193" s="2" customFormat="1" ht="16.95" customHeight="1">
      <c r="A231" s="53" t="s">
        <v>228</v>
      </c>
      <c r="B231" s="38">
        <v>13598</v>
      </c>
      <c r="C231" s="38">
        <v>16554</v>
      </c>
      <c r="D231" s="4">
        <f t="shared" si="57"/>
        <v>1.2173849095455214</v>
      </c>
      <c r="E231" s="11">
        <v>10</v>
      </c>
      <c r="F231" s="5" t="s">
        <v>371</v>
      </c>
      <c r="G231" s="5" t="s">
        <v>371</v>
      </c>
      <c r="H231" s="5" t="s">
        <v>371</v>
      </c>
      <c r="I231" s="5" t="s">
        <v>371</v>
      </c>
      <c r="J231" s="5" t="s">
        <v>371</v>
      </c>
      <c r="K231" s="5" t="s">
        <v>371</v>
      </c>
      <c r="L231" s="5" t="s">
        <v>371</v>
      </c>
      <c r="M231" s="5" t="s">
        <v>371</v>
      </c>
      <c r="N231" s="38">
        <v>407.7</v>
      </c>
      <c r="O231" s="38">
        <v>457.1</v>
      </c>
      <c r="P231" s="4">
        <f t="shared" si="58"/>
        <v>1.1211675251410351</v>
      </c>
      <c r="Q231" s="11">
        <v>20</v>
      </c>
      <c r="R231" s="11">
        <v>1</v>
      </c>
      <c r="S231" s="11">
        <v>15</v>
      </c>
      <c r="T231" s="38">
        <v>0</v>
      </c>
      <c r="U231" s="38">
        <v>0</v>
      </c>
      <c r="V231" s="4">
        <f t="shared" si="59"/>
        <v>1</v>
      </c>
      <c r="W231" s="11">
        <v>15</v>
      </c>
      <c r="X231" s="38">
        <v>1</v>
      </c>
      <c r="Y231" s="38">
        <v>1.5</v>
      </c>
      <c r="Z231" s="4">
        <f t="shared" si="60"/>
        <v>1.5</v>
      </c>
      <c r="AA231" s="11">
        <v>35</v>
      </c>
      <c r="AB231" s="50">
        <f t="shared" si="65"/>
        <v>1.2326021010344834</v>
      </c>
      <c r="AC231" s="50">
        <f t="shared" si="66"/>
        <v>1.2032602101034482</v>
      </c>
      <c r="AD231" s="51">
        <v>24</v>
      </c>
      <c r="AE231" s="38">
        <f t="shared" si="61"/>
        <v>2.1818181818181817</v>
      </c>
      <c r="AF231" s="38">
        <f t="shared" si="62"/>
        <v>2.6</v>
      </c>
      <c r="AG231" s="38">
        <f t="shared" si="56"/>
        <v>0.41818181818181843</v>
      </c>
      <c r="AH231" s="38">
        <v>0.1</v>
      </c>
      <c r="AI231" s="38">
        <f t="shared" si="63"/>
        <v>2.7</v>
      </c>
      <c r="AJ231" s="38">
        <f>MIN($AI231,182.1)</f>
        <v>2.7</v>
      </c>
      <c r="AK231" s="38">
        <f t="shared" si="64"/>
        <v>0</v>
      </c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10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10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10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10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10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10"/>
      <c r="GJ231" s="9"/>
      <c r="GK231" s="9"/>
    </row>
    <row r="232" spans="1:193" s="2" customFormat="1" ht="16.95" customHeight="1">
      <c r="A232" s="14" t="s">
        <v>229</v>
      </c>
      <c r="B232" s="38">
        <v>574900</v>
      </c>
      <c r="C232" s="38">
        <v>1299389.6000000001</v>
      </c>
      <c r="D232" s="4">
        <f t="shared" si="57"/>
        <v>2.2602010784484259</v>
      </c>
      <c r="E232" s="11">
        <v>10</v>
      </c>
      <c r="F232" s="5" t="s">
        <v>371</v>
      </c>
      <c r="G232" s="5" t="s">
        <v>371</v>
      </c>
      <c r="H232" s="5" t="s">
        <v>371</v>
      </c>
      <c r="I232" s="5" t="s">
        <v>371</v>
      </c>
      <c r="J232" s="5" t="s">
        <v>371</v>
      </c>
      <c r="K232" s="5" t="s">
        <v>371</v>
      </c>
      <c r="L232" s="5" t="s">
        <v>371</v>
      </c>
      <c r="M232" s="5" t="s">
        <v>371</v>
      </c>
      <c r="N232" s="38">
        <v>3938</v>
      </c>
      <c r="O232" s="38">
        <v>5092.8</v>
      </c>
      <c r="P232" s="4">
        <f t="shared" si="58"/>
        <v>1.2932453021838497</v>
      </c>
      <c r="Q232" s="11">
        <v>20</v>
      </c>
      <c r="R232" s="11">
        <v>1</v>
      </c>
      <c r="S232" s="11">
        <v>15</v>
      </c>
      <c r="T232" s="38">
        <v>0</v>
      </c>
      <c r="U232" s="38">
        <v>0</v>
      </c>
      <c r="V232" s="4">
        <f t="shared" si="59"/>
        <v>1</v>
      </c>
      <c r="W232" s="11">
        <v>15</v>
      </c>
      <c r="X232" s="38">
        <v>0</v>
      </c>
      <c r="Y232" s="38">
        <v>0</v>
      </c>
      <c r="Z232" s="4">
        <f t="shared" si="60"/>
        <v>1</v>
      </c>
      <c r="AA232" s="11">
        <v>35</v>
      </c>
      <c r="AB232" s="50">
        <f t="shared" si="65"/>
        <v>1.194388598191171</v>
      </c>
      <c r="AC232" s="50">
        <f t="shared" si="66"/>
        <v>1.194388598191171</v>
      </c>
      <c r="AD232" s="51">
        <v>1952</v>
      </c>
      <c r="AE232" s="38">
        <f t="shared" si="61"/>
        <v>177.45454545454547</v>
      </c>
      <c r="AF232" s="38">
        <f t="shared" si="62"/>
        <v>211.9</v>
      </c>
      <c r="AG232" s="38">
        <f t="shared" si="56"/>
        <v>34.445454545454538</v>
      </c>
      <c r="AH232" s="38">
        <v>7.7</v>
      </c>
      <c r="AI232" s="38">
        <f t="shared" si="63"/>
        <v>219.6</v>
      </c>
      <c r="AJ232" s="38"/>
      <c r="AK232" s="38">
        <f t="shared" si="64"/>
        <v>219.6</v>
      </c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10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10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10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10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10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10"/>
      <c r="GJ232" s="9"/>
      <c r="GK232" s="9"/>
    </row>
    <row r="233" spans="1:193" s="2" customFormat="1" ht="16.95" customHeight="1">
      <c r="A233" s="14" t="s">
        <v>230</v>
      </c>
      <c r="B233" s="38">
        <v>0</v>
      </c>
      <c r="C233" s="38">
        <v>0</v>
      </c>
      <c r="D233" s="4">
        <f t="shared" si="57"/>
        <v>0</v>
      </c>
      <c r="E233" s="11">
        <v>0</v>
      </c>
      <c r="F233" s="5" t="s">
        <v>371</v>
      </c>
      <c r="G233" s="5" t="s">
        <v>371</v>
      </c>
      <c r="H233" s="5" t="s">
        <v>371</v>
      </c>
      <c r="I233" s="5" t="s">
        <v>371</v>
      </c>
      <c r="J233" s="5" t="s">
        <v>371</v>
      </c>
      <c r="K233" s="5" t="s">
        <v>371</v>
      </c>
      <c r="L233" s="5" t="s">
        <v>371</v>
      </c>
      <c r="M233" s="5" t="s">
        <v>371</v>
      </c>
      <c r="N233" s="38">
        <v>177.9</v>
      </c>
      <c r="O233" s="38">
        <v>256</v>
      </c>
      <c r="P233" s="4">
        <f t="shared" si="58"/>
        <v>1.4390106801573916</v>
      </c>
      <c r="Q233" s="11">
        <v>20</v>
      </c>
      <c r="R233" s="11">
        <v>1</v>
      </c>
      <c r="S233" s="11">
        <v>15</v>
      </c>
      <c r="T233" s="38">
        <v>105</v>
      </c>
      <c r="U233" s="38">
        <v>106.5</v>
      </c>
      <c r="V233" s="4">
        <f t="shared" si="59"/>
        <v>1.0142857142857142</v>
      </c>
      <c r="W233" s="11">
        <v>30</v>
      </c>
      <c r="X233" s="38">
        <v>6</v>
      </c>
      <c r="Y233" s="38">
        <v>12.5</v>
      </c>
      <c r="Z233" s="4">
        <f t="shared" si="60"/>
        <v>2.0833333333333335</v>
      </c>
      <c r="AA233" s="11">
        <v>20</v>
      </c>
      <c r="AB233" s="50">
        <f t="shared" si="65"/>
        <v>1.3632406082163051</v>
      </c>
      <c r="AC233" s="50">
        <f t="shared" si="66"/>
        <v>1.2163240608216306</v>
      </c>
      <c r="AD233" s="51">
        <v>712</v>
      </c>
      <c r="AE233" s="38">
        <f t="shared" si="61"/>
        <v>64.727272727272734</v>
      </c>
      <c r="AF233" s="38">
        <f t="shared" si="62"/>
        <v>78.7</v>
      </c>
      <c r="AG233" s="38">
        <f t="shared" si="56"/>
        <v>13.972727272727269</v>
      </c>
      <c r="AH233" s="38">
        <v>7.7</v>
      </c>
      <c r="AI233" s="38">
        <f t="shared" si="63"/>
        <v>86.4</v>
      </c>
      <c r="AJ233" s="38">
        <f>MIN($AI233,10.2)</f>
        <v>10.199999999999999</v>
      </c>
      <c r="AK233" s="38">
        <f t="shared" si="64"/>
        <v>76.2</v>
      </c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10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10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10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10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10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10"/>
      <c r="GJ233" s="9"/>
      <c r="GK233" s="9"/>
    </row>
    <row r="234" spans="1:193" s="2" customFormat="1" ht="16.95" customHeight="1">
      <c r="A234" s="14" t="s">
        <v>231</v>
      </c>
      <c r="B234" s="38">
        <v>0</v>
      </c>
      <c r="C234" s="38">
        <v>0</v>
      </c>
      <c r="D234" s="4">
        <f t="shared" si="57"/>
        <v>0</v>
      </c>
      <c r="E234" s="11">
        <v>0</v>
      </c>
      <c r="F234" s="5" t="s">
        <v>371</v>
      </c>
      <c r="G234" s="5" t="s">
        <v>371</v>
      </c>
      <c r="H234" s="5" t="s">
        <v>371</v>
      </c>
      <c r="I234" s="5" t="s">
        <v>371</v>
      </c>
      <c r="J234" s="5" t="s">
        <v>371</v>
      </c>
      <c r="K234" s="5" t="s">
        <v>371</v>
      </c>
      <c r="L234" s="5" t="s">
        <v>371</v>
      </c>
      <c r="M234" s="5" t="s">
        <v>371</v>
      </c>
      <c r="N234" s="38">
        <v>1506.2</v>
      </c>
      <c r="O234" s="38">
        <v>780.9</v>
      </c>
      <c r="P234" s="4">
        <f t="shared" si="58"/>
        <v>0.51845704421723537</v>
      </c>
      <c r="Q234" s="11">
        <v>20</v>
      </c>
      <c r="R234" s="11">
        <v>1</v>
      </c>
      <c r="S234" s="11">
        <v>15</v>
      </c>
      <c r="T234" s="38">
        <v>0</v>
      </c>
      <c r="U234" s="38">
        <v>0</v>
      </c>
      <c r="V234" s="4">
        <f t="shared" si="59"/>
        <v>1</v>
      </c>
      <c r="W234" s="11">
        <v>25</v>
      </c>
      <c r="X234" s="38">
        <v>1</v>
      </c>
      <c r="Y234" s="38">
        <v>0.7</v>
      </c>
      <c r="Z234" s="4">
        <f t="shared" si="60"/>
        <v>0.7</v>
      </c>
      <c r="AA234" s="11">
        <v>25</v>
      </c>
      <c r="AB234" s="50">
        <f t="shared" si="65"/>
        <v>0.79846048099229083</v>
      </c>
      <c r="AC234" s="50">
        <f t="shared" si="66"/>
        <v>0.79846048099229083</v>
      </c>
      <c r="AD234" s="51">
        <v>1147</v>
      </c>
      <c r="AE234" s="38">
        <f t="shared" si="61"/>
        <v>104.27272727272727</v>
      </c>
      <c r="AF234" s="38">
        <f t="shared" si="62"/>
        <v>83.3</v>
      </c>
      <c r="AG234" s="38">
        <f t="shared" si="56"/>
        <v>-20.972727272727269</v>
      </c>
      <c r="AH234" s="38">
        <v>0</v>
      </c>
      <c r="AI234" s="38">
        <f t="shared" si="63"/>
        <v>83.3</v>
      </c>
      <c r="AJ234" s="38">
        <v>-21.7</v>
      </c>
      <c r="AK234" s="38">
        <f t="shared" si="64"/>
        <v>105</v>
      </c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10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10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10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10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10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10"/>
      <c r="GJ234" s="9"/>
      <c r="GK234" s="9"/>
    </row>
    <row r="235" spans="1:193" s="2" customFormat="1" ht="16.95" customHeight="1">
      <c r="A235" s="14" t="s">
        <v>232</v>
      </c>
      <c r="B235" s="38">
        <v>6289</v>
      </c>
      <c r="C235" s="38">
        <v>36078.400000000001</v>
      </c>
      <c r="D235" s="4">
        <f t="shared" si="57"/>
        <v>5.7367467005883288</v>
      </c>
      <c r="E235" s="11">
        <v>10</v>
      </c>
      <c r="F235" s="5" t="s">
        <v>371</v>
      </c>
      <c r="G235" s="5" t="s">
        <v>371</v>
      </c>
      <c r="H235" s="5" t="s">
        <v>371</v>
      </c>
      <c r="I235" s="5" t="s">
        <v>371</v>
      </c>
      <c r="J235" s="5" t="s">
        <v>371</v>
      </c>
      <c r="K235" s="5" t="s">
        <v>371</v>
      </c>
      <c r="L235" s="5" t="s">
        <v>371</v>
      </c>
      <c r="M235" s="5" t="s">
        <v>371</v>
      </c>
      <c r="N235" s="38">
        <v>2331.6999999999998</v>
      </c>
      <c r="O235" s="38">
        <v>845.5</v>
      </c>
      <c r="P235" s="4">
        <f t="shared" si="58"/>
        <v>0.36261097053651847</v>
      </c>
      <c r="Q235" s="11">
        <v>20</v>
      </c>
      <c r="R235" s="11">
        <v>1</v>
      </c>
      <c r="S235" s="11">
        <v>15</v>
      </c>
      <c r="T235" s="38">
        <v>2</v>
      </c>
      <c r="U235" s="38">
        <v>4</v>
      </c>
      <c r="V235" s="4">
        <f t="shared" si="59"/>
        <v>2</v>
      </c>
      <c r="W235" s="11">
        <v>20</v>
      </c>
      <c r="X235" s="38">
        <v>3</v>
      </c>
      <c r="Y235" s="38">
        <v>4.2</v>
      </c>
      <c r="Z235" s="4">
        <f t="shared" si="60"/>
        <v>1.4000000000000001</v>
      </c>
      <c r="AA235" s="11">
        <v>30</v>
      </c>
      <c r="AB235" s="50">
        <f t="shared" si="65"/>
        <v>1.7012598570169859</v>
      </c>
      <c r="AC235" s="50">
        <f t="shared" si="66"/>
        <v>1.2501259857016986</v>
      </c>
      <c r="AD235" s="51">
        <v>3838</v>
      </c>
      <c r="AE235" s="38">
        <f t="shared" si="61"/>
        <v>348.90909090909093</v>
      </c>
      <c r="AF235" s="38">
        <f t="shared" si="62"/>
        <v>436.2</v>
      </c>
      <c r="AG235" s="38">
        <f t="shared" si="56"/>
        <v>87.290909090909054</v>
      </c>
      <c r="AH235" s="38">
        <v>3.5</v>
      </c>
      <c r="AI235" s="38">
        <f t="shared" si="63"/>
        <v>439.7</v>
      </c>
      <c r="AJ235" s="38"/>
      <c r="AK235" s="38">
        <f t="shared" si="64"/>
        <v>439.7</v>
      </c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10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10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10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10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10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10"/>
      <c r="GJ235" s="9"/>
      <c r="GK235" s="9"/>
    </row>
    <row r="236" spans="1:193" s="2" customFormat="1" ht="16.95" customHeight="1">
      <c r="A236" s="19" t="s">
        <v>233</v>
      </c>
      <c r="B236" s="7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10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10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10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10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10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10"/>
      <c r="GJ236" s="9"/>
      <c r="GK236" s="9"/>
    </row>
    <row r="237" spans="1:193" s="2" customFormat="1" ht="16.95" customHeight="1">
      <c r="A237" s="14" t="s">
        <v>234</v>
      </c>
      <c r="B237" s="38">
        <v>0</v>
      </c>
      <c r="C237" s="38">
        <v>0</v>
      </c>
      <c r="D237" s="4">
        <f t="shared" si="57"/>
        <v>0</v>
      </c>
      <c r="E237" s="11">
        <v>0</v>
      </c>
      <c r="F237" s="5" t="s">
        <v>371</v>
      </c>
      <c r="G237" s="5" t="s">
        <v>371</v>
      </c>
      <c r="H237" s="5" t="s">
        <v>371</v>
      </c>
      <c r="I237" s="5" t="s">
        <v>371</v>
      </c>
      <c r="J237" s="5" t="s">
        <v>371</v>
      </c>
      <c r="K237" s="5" t="s">
        <v>371</v>
      </c>
      <c r="L237" s="5" t="s">
        <v>371</v>
      </c>
      <c r="M237" s="5" t="s">
        <v>371</v>
      </c>
      <c r="N237" s="38">
        <v>425.7</v>
      </c>
      <c r="O237" s="38">
        <v>105</v>
      </c>
      <c r="P237" s="4">
        <f t="shared" si="58"/>
        <v>0.24665257223396758</v>
      </c>
      <c r="Q237" s="11">
        <v>20</v>
      </c>
      <c r="R237" s="11">
        <v>1</v>
      </c>
      <c r="S237" s="11">
        <v>15</v>
      </c>
      <c r="T237" s="38">
        <v>20</v>
      </c>
      <c r="U237" s="38">
        <v>7</v>
      </c>
      <c r="V237" s="4">
        <f t="shared" si="59"/>
        <v>0.35</v>
      </c>
      <c r="W237" s="11">
        <v>20</v>
      </c>
      <c r="X237" s="38">
        <v>2</v>
      </c>
      <c r="Y237" s="38">
        <v>2.2000000000000002</v>
      </c>
      <c r="Z237" s="4">
        <f t="shared" si="60"/>
        <v>1.1000000000000001</v>
      </c>
      <c r="AA237" s="11">
        <v>30</v>
      </c>
      <c r="AB237" s="50">
        <f t="shared" si="65"/>
        <v>0.70509472287858055</v>
      </c>
      <c r="AC237" s="50">
        <f t="shared" si="66"/>
        <v>0.70509472287858055</v>
      </c>
      <c r="AD237" s="51">
        <v>796</v>
      </c>
      <c r="AE237" s="38">
        <f t="shared" si="61"/>
        <v>72.36363636363636</v>
      </c>
      <c r="AF237" s="38">
        <f t="shared" si="62"/>
        <v>51</v>
      </c>
      <c r="AG237" s="38">
        <f t="shared" si="56"/>
        <v>-21.36363636363636</v>
      </c>
      <c r="AH237" s="38">
        <v>6.4</v>
      </c>
      <c r="AI237" s="38">
        <f t="shared" si="63"/>
        <v>57.4</v>
      </c>
      <c r="AJ237" s="38"/>
      <c r="AK237" s="38">
        <f t="shared" si="64"/>
        <v>57.4</v>
      </c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10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10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10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10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10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10"/>
      <c r="GJ237" s="9"/>
      <c r="GK237" s="9"/>
    </row>
    <row r="238" spans="1:193" s="2" customFormat="1" ht="16.95" customHeight="1">
      <c r="A238" s="14" t="s">
        <v>235</v>
      </c>
      <c r="B238" s="38">
        <v>0</v>
      </c>
      <c r="C238" s="38">
        <v>0</v>
      </c>
      <c r="D238" s="4">
        <f t="shared" si="57"/>
        <v>0</v>
      </c>
      <c r="E238" s="11">
        <v>0</v>
      </c>
      <c r="F238" s="5" t="s">
        <v>371</v>
      </c>
      <c r="G238" s="5" t="s">
        <v>371</v>
      </c>
      <c r="H238" s="5" t="s">
        <v>371</v>
      </c>
      <c r="I238" s="5" t="s">
        <v>371</v>
      </c>
      <c r="J238" s="5" t="s">
        <v>371</v>
      </c>
      <c r="K238" s="5" t="s">
        <v>371</v>
      </c>
      <c r="L238" s="5" t="s">
        <v>371</v>
      </c>
      <c r="M238" s="5" t="s">
        <v>371</v>
      </c>
      <c r="N238" s="38">
        <v>338.9</v>
      </c>
      <c r="O238" s="38">
        <v>196.4</v>
      </c>
      <c r="P238" s="4">
        <f t="shared" si="58"/>
        <v>0.57952198288580703</v>
      </c>
      <c r="Q238" s="11">
        <v>20</v>
      </c>
      <c r="R238" s="11">
        <v>1</v>
      </c>
      <c r="S238" s="11">
        <v>15</v>
      </c>
      <c r="T238" s="38">
        <v>32</v>
      </c>
      <c r="U238" s="38">
        <v>62</v>
      </c>
      <c r="V238" s="4">
        <f t="shared" si="59"/>
        <v>1.9375</v>
      </c>
      <c r="W238" s="11">
        <v>25</v>
      </c>
      <c r="X238" s="38">
        <v>4</v>
      </c>
      <c r="Y238" s="38">
        <v>5.0999999999999996</v>
      </c>
      <c r="Z238" s="4">
        <f t="shared" si="60"/>
        <v>1.2749999999999999</v>
      </c>
      <c r="AA238" s="11">
        <v>25</v>
      </c>
      <c r="AB238" s="50">
        <f t="shared" si="65"/>
        <v>1.2576816430319544</v>
      </c>
      <c r="AC238" s="50">
        <f t="shared" si="66"/>
        <v>1.2057681643031954</v>
      </c>
      <c r="AD238" s="51">
        <v>280</v>
      </c>
      <c r="AE238" s="38">
        <f t="shared" si="61"/>
        <v>25.454545454545453</v>
      </c>
      <c r="AF238" s="38">
        <f t="shared" si="62"/>
        <v>30.7</v>
      </c>
      <c r="AG238" s="38">
        <f t="shared" ref="AG238:AG301" si="67">AF238-AE238</f>
        <v>5.245454545454546</v>
      </c>
      <c r="AH238" s="38">
        <v>-3.4</v>
      </c>
      <c r="AI238" s="38">
        <f t="shared" si="63"/>
        <v>27.3</v>
      </c>
      <c r="AJ238" s="38"/>
      <c r="AK238" s="38">
        <f t="shared" si="64"/>
        <v>27.3</v>
      </c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10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10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10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10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10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10"/>
      <c r="GJ238" s="9"/>
      <c r="GK238" s="9"/>
    </row>
    <row r="239" spans="1:193" s="2" customFormat="1" ht="16.95" customHeight="1">
      <c r="A239" s="14" t="s">
        <v>236</v>
      </c>
      <c r="B239" s="38">
        <v>0</v>
      </c>
      <c r="C239" s="38">
        <v>0</v>
      </c>
      <c r="D239" s="4">
        <f t="shared" ref="D239:D302" si="68">IF(E239=0,0,IF(B239=0,1,IF(C239&lt;0,0,C239/B239)))</f>
        <v>0</v>
      </c>
      <c r="E239" s="11">
        <v>0</v>
      </c>
      <c r="F239" s="5" t="s">
        <v>371</v>
      </c>
      <c r="G239" s="5" t="s">
        <v>371</v>
      </c>
      <c r="H239" s="5" t="s">
        <v>371</v>
      </c>
      <c r="I239" s="5" t="s">
        <v>371</v>
      </c>
      <c r="J239" s="5" t="s">
        <v>371</v>
      </c>
      <c r="K239" s="5" t="s">
        <v>371</v>
      </c>
      <c r="L239" s="5" t="s">
        <v>371</v>
      </c>
      <c r="M239" s="5" t="s">
        <v>371</v>
      </c>
      <c r="N239" s="38">
        <v>796.1</v>
      </c>
      <c r="O239" s="38">
        <v>336.3</v>
      </c>
      <c r="P239" s="4">
        <f t="shared" ref="P239:P302" si="69">IF(Q239=0,0,IF(N239=0,1,IF(O239&lt;0,0,O239/N239)))</f>
        <v>0.42243436754176611</v>
      </c>
      <c r="Q239" s="11">
        <v>20</v>
      </c>
      <c r="R239" s="11">
        <v>1</v>
      </c>
      <c r="S239" s="11">
        <v>15</v>
      </c>
      <c r="T239" s="38">
        <v>35</v>
      </c>
      <c r="U239" s="38">
        <v>76.2</v>
      </c>
      <c r="V239" s="4">
        <f t="shared" ref="V239:V302" si="70">IF(W239=0,0,IF(T239=0,1,IF(U239&lt;0,0,U239/T239)))</f>
        <v>2.177142857142857</v>
      </c>
      <c r="W239" s="11">
        <v>15</v>
      </c>
      <c r="X239" s="38">
        <v>3</v>
      </c>
      <c r="Y239" s="38">
        <v>5.3</v>
      </c>
      <c r="Z239" s="4">
        <f t="shared" ref="Z239:Z302" si="71">IF(AA239=0,0,IF(X239=0,1,IF(Y239&lt;0,0,Y239/X239)))</f>
        <v>1.7666666666666666</v>
      </c>
      <c r="AA239" s="11">
        <v>35</v>
      </c>
      <c r="AB239" s="50">
        <f t="shared" si="65"/>
        <v>1.3875195710742529</v>
      </c>
      <c r="AC239" s="50">
        <f t="shared" si="66"/>
        <v>1.2187519571074252</v>
      </c>
      <c r="AD239" s="51">
        <v>3506</v>
      </c>
      <c r="AE239" s="38">
        <f t="shared" ref="AE239:AE302" si="72">AD239/11</f>
        <v>318.72727272727275</v>
      </c>
      <c r="AF239" s="38">
        <f t="shared" ref="AF239:AF302" si="73">ROUND(AC239*AE239,1)</f>
        <v>388.4</v>
      </c>
      <c r="AG239" s="38">
        <f t="shared" si="67"/>
        <v>69.672727272727229</v>
      </c>
      <c r="AH239" s="38">
        <v>-5.4</v>
      </c>
      <c r="AI239" s="38">
        <f t="shared" ref="AI239:AI302" si="74">AF239+AH239</f>
        <v>383</v>
      </c>
      <c r="AJ239" s="38"/>
      <c r="AK239" s="38">
        <f t="shared" ref="AK239:AK302" si="75">IF((AI239-AJ239)&gt;0,ROUND(AI239-AJ239,1),0)</f>
        <v>383</v>
      </c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10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10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10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10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10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10"/>
      <c r="GJ239" s="9"/>
      <c r="GK239" s="9"/>
    </row>
    <row r="240" spans="1:193" s="2" customFormat="1" ht="16.95" customHeight="1">
      <c r="A240" s="14" t="s">
        <v>237</v>
      </c>
      <c r="B240" s="38">
        <v>1500</v>
      </c>
      <c r="C240" s="38">
        <v>2753.8</v>
      </c>
      <c r="D240" s="4">
        <f t="shared" si="68"/>
        <v>1.8358666666666668</v>
      </c>
      <c r="E240" s="11">
        <v>10</v>
      </c>
      <c r="F240" s="5" t="s">
        <v>371</v>
      </c>
      <c r="G240" s="5" t="s">
        <v>371</v>
      </c>
      <c r="H240" s="5" t="s">
        <v>371</v>
      </c>
      <c r="I240" s="5" t="s">
        <v>371</v>
      </c>
      <c r="J240" s="5" t="s">
        <v>371</v>
      </c>
      <c r="K240" s="5" t="s">
        <v>371</v>
      </c>
      <c r="L240" s="5" t="s">
        <v>371</v>
      </c>
      <c r="M240" s="5" t="s">
        <v>371</v>
      </c>
      <c r="N240" s="38">
        <v>449.1</v>
      </c>
      <c r="O240" s="38">
        <v>237.1</v>
      </c>
      <c r="P240" s="4">
        <f t="shared" si="69"/>
        <v>0.52794477844578036</v>
      </c>
      <c r="Q240" s="11">
        <v>20</v>
      </c>
      <c r="R240" s="11">
        <v>1</v>
      </c>
      <c r="S240" s="11">
        <v>15</v>
      </c>
      <c r="T240" s="38">
        <v>25</v>
      </c>
      <c r="U240" s="38">
        <v>34</v>
      </c>
      <c r="V240" s="4">
        <f t="shared" si="70"/>
        <v>1.36</v>
      </c>
      <c r="W240" s="11">
        <v>15</v>
      </c>
      <c r="X240" s="38">
        <v>4</v>
      </c>
      <c r="Y240" s="38">
        <v>4.5999999999999996</v>
      </c>
      <c r="Z240" s="4">
        <f t="shared" si="71"/>
        <v>1.1499999999999999</v>
      </c>
      <c r="AA240" s="11">
        <v>35</v>
      </c>
      <c r="AB240" s="50">
        <f t="shared" ref="AB240:AB303" si="76">(D240*E240+P240*Q240+R240*S240+V240*W240+Z240*AA240)/(E240+Q240+S240+W240+AA240)</f>
        <v>1.1007111814271817</v>
      </c>
      <c r="AC240" s="50">
        <f t="shared" ref="AC240:AC303" si="77">IF(AB240&gt;1.2,IF((AB240-1.2)*0.1+1.2&gt;1.3,1.3,(AB240-1.2)*0.1+1.2),AB240)</f>
        <v>1.1007111814271817</v>
      </c>
      <c r="AD240" s="51">
        <v>1545</v>
      </c>
      <c r="AE240" s="38">
        <f t="shared" si="72"/>
        <v>140.45454545454547</v>
      </c>
      <c r="AF240" s="38">
        <f t="shared" si="73"/>
        <v>154.6</v>
      </c>
      <c r="AG240" s="38">
        <f t="shared" si="67"/>
        <v>14.145454545454527</v>
      </c>
      <c r="AH240" s="38">
        <v>0.2</v>
      </c>
      <c r="AI240" s="38">
        <f t="shared" si="74"/>
        <v>154.79999999999998</v>
      </c>
      <c r="AJ240" s="38"/>
      <c r="AK240" s="38">
        <f t="shared" si="75"/>
        <v>154.80000000000001</v>
      </c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10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10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10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10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10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10"/>
      <c r="GJ240" s="9"/>
      <c r="GK240" s="9"/>
    </row>
    <row r="241" spans="1:193" s="2" customFormat="1" ht="16.95" customHeight="1">
      <c r="A241" s="14" t="s">
        <v>238</v>
      </c>
      <c r="B241" s="38">
        <v>0</v>
      </c>
      <c r="C241" s="38">
        <v>0</v>
      </c>
      <c r="D241" s="4">
        <f t="shared" si="68"/>
        <v>0</v>
      </c>
      <c r="E241" s="11">
        <v>0</v>
      </c>
      <c r="F241" s="5" t="s">
        <v>371</v>
      </c>
      <c r="G241" s="5" t="s">
        <v>371</v>
      </c>
      <c r="H241" s="5" t="s">
        <v>371</v>
      </c>
      <c r="I241" s="5" t="s">
        <v>371</v>
      </c>
      <c r="J241" s="5" t="s">
        <v>371</v>
      </c>
      <c r="K241" s="5" t="s">
        <v>371</v>
      </c>
      <c r="L241" s="5" t="s">
        <v>371</v>
      </c>
      <c r="M241" s="5" t="s">
        <v>371</v>
      </c>
      <c r="N241" s="38">
        <v>84.9</v>
      </c>
      <c r="O241" s="38">
        <v>9</v>
      </c>
      <c r="P241" s="4">
        <f t="shared" si="69"/>
        <v>0.10600706713780918</v>
      </c>
      <c r="Q241" s="11">
        <v>20</v>
      </c>
      <c r="R241" s="11">
        <v>1</v>
      </c>
      <c r="S241" s="11">
        <v>15</v>
      </c>
      <c r="T241" s="38">
        <v>30</v>
      </c>
      <c r="U241" s="38">
        <v>27.7</v>
      </c>
      <c r="V241" s="4">
        <f t="shared" si="70"/>
        <v>0.92333333333333334</v>
      </c>
      <c r="W241" s="11">
        <v>20</v>
      </c>
      <c r="X241" s="38">
        <v>2</v>
      </c>
      <c r="Y241" s="38">
        <v>0.3</v>
      </c>
      <c r="Z241" s="4">
        <f t="shared" si="71"/>
        <v>0.15</v>
      </c>
      <c r="AA241" s="11">
        <v>30</v>
      </c>
      <c r="AB241" s="50">
        <f t="shared" si="76"/>
        <v>0.47160950599321005</v>
      </c>
      <c r="AC241" s="50">
        <f t="shared" si="77"/>
        <v>0.47160950599321005</v>
      </c>
      <c r="AD241" s="51">
        <v>884</v>
      </c>
      <c r="AE241" s="38">
        <f t="shared" si="72"/>
        <v>80.36363636363636</v>
      </c>
      <c r="AF241" s="38">
        <f t="shared" si="73"/>
        <v>37.9</v>
      </c>
      <c r="AG241" s="38">
        <f t="shared" si="67"/>
        <v>-42.463636363636361</v>
      </c>
      <c r="AH241" s="38">
        <v>-1.1000000000000001</v>
      </c>
      <c r="AI241" s="38">
        <f t="shared" si="74"/>
        <v>36.799999999999997</v>
      </c>
      <c r="AJ241" s="38"/>
      <c r="AK241" s="38">
        <f t="shared" si="75"/>
        <v>36.799999999999997</v>
      </c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10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10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10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10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10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10"/>
      <c r="GJ241" s="9"/>
      <c r="GK241" s="9"/>
    </row>
    <row r="242" spans="1:193" s="2" customFormat="1" ht="16.95" customHeight="1">
      <c r="A242" s="14" t="s">
        <v>239</v>
      </c>
      <c r="B242" s="38">
        <v>0</v>
      </c>
      <c r="C242" s="38">
        <v>0</v>
      </c>
      <c r="D242" s="4">
        <f t="shared" si="68"/>
        <v>0</v>
      </c>
      <c r="E242" s="11">
        <v>0</v>
      </c>
      <c r="F242" s="5" t="s">
        <v>371</v>
      </c>
      <c r="G242" s="5" t="s">
        <v>371</v>
      </c>
      <c r="H242" s="5" t="s">
        <v>371</v>
      </c>
      <c r="I242" s="5" t="s">
        <v>371</v>
      </c>
      <c r="J242" s="5" t="s">
        <v>371</v>
      </c>
      <c r="K242" s="5" t="s">
        <v>371</v>
      </c>
      <c r="L242" s="5" t="s">
        <v>371</v>
      </c>
      <c r="M242" s="5" t="s">
        <v>371</v>
      </c>
      <c r="N242" s="38">
        <v>355.2</v>
      </c>
      <c r="O242" s="38">
        <v>71.400000000000006</v>
      </c>
      <c r="P242" s="4">
        <f t="shared" si="69"/>
        <v>0.20101351351351354</v>
      </c>
      <c r="Q242" s="11">
        <v>20</v>
      </c>
      <c r="R242" s="11">
        <v>1</v>
      </c>
      <c r="S242" s="11">
        <v>15</v>
      </c>
      <c r="T242" s="38">
        <v>26</v>
      </c>
      <c r="U242" s="38">
        <v>30.8</v>
      </c>
      <c r="V242" s="4">
        <f t="shared" si="70"/>
        <v>1.1846153846153846</v>
      </c>
      <c r="W242" s="11">
        <v>20</v>
      </c>
      <c r="X242" s="38">
        <v>3</v>
      </c>
      <c r="Y242" s="38">
        <v>1.9</v>
      </c>
      <c r="Z242" s="4">
        <f t="shared" si="71"/>
        <v>0.6333333333333333</v>
      </c>
      <c r="AA242" s="11">
        <v>30</v>
      </c>
      <c r="AB242" s="50">
        <f t="shared" si="76"/>
        <v>0.72603032897150555</v>
      </c>
      <c r="AC242" s="50">
        <f t="shared" si="77"/>
        <v>0.72603032897150555</v>
      </c>
      <c r="AD242" s="51">
        <v>1877</v>
      </c>
      <c r="AE242" s="38">
        <f t="shared" si="72"/>
        <v>170.63636363636363</v>
      </c>
      <c r="AF242" s="38">
        <f t="shared" si="73"/>
        <v>123.9</v>
      </c>
      <c r="AG242" s="38">
        <f t="shared" si="67"/>
        <v>-46.73636363636362</v>
      </c>
      <c r="AH242" s="38">
        <v>8.1</v>
      </c>
      <c r="AI242" s="38">
        <f t="shared" si="74"/>
        <v>132</v>
      </c>
      <c r="AJ242" s="38"/>
      <c r="AK242" s="38">
        <f t="shared" si="75"/>
        <v>132</v>
      </c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10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10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10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10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10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10"/>
      <c r="GJ242" s="9"/>
      <c r="GK242" s="9"/>
    </row>
    <row r="243" spans="1:193" s="2" customFormat="1" ht="16.95" customHeight="1">
      <c r="A243" s="14" t="s">
        <v>240</v>
      </c>
      <c r="B243" s="38">
        <v>2240</v>
      </c>
      <c r="C243" s="38">
        <v>3214</v>
      </c>
      <c r="D243" s="4">
        <f t="shared" si="68"/>
        <v>1.4348214285714285</v>
      </c>
      <c r="E243" s="11">
        <v>10</v>
      </c>
      <c r="F243" s="5" t="s">
        <v>371</v>
      </c>
      <c r="G243" s="5" t="s">
        <v>371</v>
      </c>
      <c r="H243" s="5" t="s">
        <v>371</v>
      </c>
      <c r="I243" s="5" t="s">
        <v>371</v>
      </c>
      <c r="J243" s="5" t="s">
        <v>371</v>
      </c>
      <c r="K243" s="5" t="s">
        <v>371</v>
      </c>
      <c r="L243" s="5" t="s">
        <v>371</v>
      </c>
      <c r="M243" s="5" t="s">
        <v>371</v>
      </c>
      <c r="N243" s="38">
        <v>192</v>
      </c>
      <c r="O243" s="38">
        <v>59.2</v>
      </c>
      <c r="P243" s="4">
        <f t="shared" si="69"/>
        <v>0.30833333333333335</v>
      </c>
      <c r="Q243" s="11">
        <v>20</v>
      </c>
      <c r="R243" s="11">
        <v>1</v>
      </c>
      <c r="S243" s="11">
        <v>15</v>
      </c>
      <c r="T243" s="38">
        <v>31</v>
      </c>
      <c r="U243" s="38">
        <v>23</v>
      </c>
      <c r="V243" s="4">
        <f t="shared" si="70"/>
        <v>0.74193548387096775</v>
      </c>
      <c r="W243" s="11">
        <v>15</v>
      </c>
      <c r="X243" s="38">
        <v>4</v>
      </c>
      <c r="Y243" s="38">
        <v>8.1</v>
      </c>
      <c r="Z243" s="4">
        <f t="shared" si="71"/>
        <v>2.0249999999999999</v>
      </c>
      <c r="AA243" s="11">
        <v>35</v>
      </c>
      <c r="AB243" s="50">
        <f t="shared" si="76"/>
        <v>1.2370411916888997</v>
      </c>
      <c r="AC243" s="50">
        <f t="shared" si="77"/>
        <v>1.20370411916889</v>
      </c>
      <c r="AD243" s="51">
        <v>3229</v>
      </c>
      <c r="AE243" s="38">
        <f t="shared" si="72"/>
        <v>293.54545454545456</v>
      </c>
      <c r="AF243" s="38">
        <f t="shared" si="73"/>
        <v>353.3</v>
      </c>
      <c r="AG243" s="38">
        <f t="shared" si="67"/>
        <v>59.75454545454545</v>
      </c>
      <c r="AH243" s="38">
        <v>6.6</v>
      </c>
      <c r="AI243" s="38">
        <f t="shared" si="74"/>
        <v>359.90000000000003</v>
      </c>
      <c r="AJ243" s="38"/>
      <c r="AK243" s="38">
        <f t="shared" si="75"/>
        <v>359.9</v>
      </c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10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10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10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10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10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10"/>
      <c r="GJ243" s="9"/>
      <c r="GK243" s="9"/>
    </row>
    <row r="244" spans="1:193" s="2" customFormat="1" ht="16.95" customHeight="1">
      <c r="A244" s="14" t="s">
        <v>241</v>
      </c>
      <c r="B244" s="38">
        <v>70400</v>
      </c>
      <c r="C244" s="38">
        <v>108141.6</v>
      </c>
      <c r="D244" s="4">
        <f t="shared" si="68"/>
        <v>1.5361022727272728</v>
      </c>
      <c r="E244" s="11">
        <v>10</v>
      </c>
      <c r="F244" s="5" t="s">
        <v>371</v>
      </c>
      <c r="G244" s="5" t="s">
        <v>371</v>
      </c>
      <c r="H244" s="5" t="s">
        <v>371</v>
      </c>
      <c r="I244" s="5" t="s">
        <v>371</v>
      </c>
      <c r="J244" s="5" t="s">
        <v>371</v>
      </c>
      <c r="K244" s="5" t="s">
        <v>371</v>
      </c>
      <c r="L244" s="5" t="s">
        <v>371</v>
      </c>
      <c r="M244" s="5" t="s">
        <v>371</v>
      </c>
      <c r="N244" s="38">
        <v>2069.8000000000002</v>
      </c>
      <c r="O244" s="38">
        <v>1232.7</v>
      </c>
      <c r="P244" s="4">
        <f t="shared" si="69"/>
        <v>0.59556478886848963</v>
      </c>
      <c r="Q244" s="11">
        <v>20</v>
      </c>
      <c r="R244" s="11">
        <v>1</v>
      </c>
      <c r="S244" s="11">
        <v>15</v>
      </c>
      <c r="T244" s="38">
        <v>25</v>
      </c>
      <c r="U244" s="38">
        <v>28.6</v>
      </c>
      <c r="V244" s="4">
        <f t="shared" si="70"/>
        <v>1.1440000000000001</v>
      </c>
      <c r="W244" s="11">
        <v>10</v>
      </c>
      <c r="X244" s="38">
        <v>4</v>
      </c>
      <c r="Y244" s="38">
        <v>3.4</v>
      </c>
      <c r="Z244" s="4">
        <f t="shared" si="71"/>
        <v>0.85</v>
      </c>
      <c r="AA244" s="11">
        <v>40</v>
      </c>
      <c r="AB244" s="50">
        <f t="shared" si="76"/>
        <v>0.92328756320676342</v>
      </c>
      <c r="AC244" s="50">
        <f t="shared" si="77"/>
        <v>0.92328756320676342</v>
      </c>
      <c r="AD244" s="51">
        <v>1442</v>
      </c>
      <c r="AE244" s="38">
        <f t="shared" si="72"/>
        <v>131.09090909090909</v>
      </c>
      <c r="AF244" s="38">
        <f t="shared" si="73"/>
        <v>121</v>
      </c>
      <c r="AG244" s="38">
        <f t="shared" si="67"/>
        <v>-10.090909090909093</v>
      </c>
      <c r="AH244" s="38">
        <v>-6.4</v>
      </c>
      <c r="AI244" s="38">
        <f t="shared" si="74"/>
        <v>114.6</v>
      </c>
      <c r="AJ244" s="38"/>
      <c r="AK244" s="38">
        <f t="shared" si="75"/>
        <v>114.6</v>
      </c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10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10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10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10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10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10"/>
      <c r="GJ244" s="9"/>
      <c r="GK244" s="9"/>
    </row>
    <row r="245" spans="1:193" s="2" customFormat="1" ht="16.95" customHeight="1">
      <c r="A245" s="19" t="s">
        <v>242</v>
      </c>
      <c r="B245" s="72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10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10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10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10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10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10"/>
      <c r="GJ245" s="9"/>
      <c r="GK245" s="9"/>
    </row>
    <row r="246" spans="1:193" s="2" customFormat="1" ht="16.95" customHeight="1">
      <c r="A246" s="14" t="s">
        <v>243</v>
      </c>
      <c r="B246" s="38">
        <v>1543</v>
      </c>
      <c r="C246" s="38">
        <v>1661</v>
      </c>
      <c r="D246" s="4">
        <f t="shared" si="68"/>
        <v>1.0764744005184705</v>
      </c>
      <c r="E246" s="11">
        <v>10</v>
      </c>
      <c r="F246" s="5" t="s">
        <v>371</v>
      </c>
      <c r="G246" s="5" t="s">
        <v>371</v>
      </c>
      <c r="H246" s="5" t="s">
        <v>371</v>
      </c>
      <c r="I246" s="5" t="s">
        <v>371</v>
      </c>
      <c r="J246" s="5" t="s">
        <v>371</v>
      </c>
      <c r="K246" s="5" t="s">
        <v>371</v>
      </c>
      <c r="L246" s="5" t="s">
        <v>371</v>
      </c>
      <c r="M246" s="5" t="s">
        <v>371</v>
      </c>
      <c r="N246" s="38">
        <v>125.5</v>
      </c>
      <c r="O246" s="38">
        <v>36.200000000000003</v>
      </c>
      <c r="P246" s="4">
        <f t="shared" si="69"/>
        <v>0.28844621513944224</v>
      </c>
      <c r="Q246" s="11">
        <v>20</v>
      </c>
      <c r="R246" s="11">
        <v>1</v>
      </c>
      <c r="S246" s="11">
        <v>15</v>
      </c>
      <c r="T246" s="38">
        <v>60</v>
      </c>
      <c r="U246" s="38">
        <v>112.9</v>
      </c>
      <c r="V246" s="4">
        <f t="shared" si="70"/>
        <v>1.8816666666666668</v>
      </c>
      <c r="W246" s="11">
        <v>20</v>
      </c>
      <c r="X246" s="38">
        <v>5.7</v>
      </c>
      <c r="Y246" s="38">
        <v>8.5</v>
      </c>
      <c r="Z246" s="4">
        <f t="shared" si="71"/>
        <v>1.4912280701754386</v>
      </c>
      <c r="AA246" s="11">
        <v>30</v>
      </c>
      <c r="AB246" s="50">
        <f t="shared" si="76"/>
        <v>1.1989878289112634</v>
      </c>
      <c r="AC246" s="50">
        <f t="shared" si="77"/>
        <v>1.1989878289112634</v>
      </c>
      <c r="AD246" s="51">
        <v>2320</v>
      </c>
      <c r="AE246" s="38">
        <f t="shared" si="72"/>
        <v>210.90909090909091</v>
      </c>
      <c r="AF246" s="38">
        <f t="shared" si="73"/>
        <v>252.9</v>
      </c>
      <c r="AG246" s="38">
        <f t="shared" si="67"/>
        <v>41.990909090909099</v>
      </c>
      <c r="AH246" s="38">
        <v>70.5</v>
      </c>
      <c r="AI246" s="38">
        <f t="shared" si="74"/>
        <v>323.39999999999998</v>
      </c>
      <c r="AJ246" s="38"/>
      <c r="AK246" s="38">
        <f t="shared" si="75"/>
        <v>323.39999999999998</v>
      </c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10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10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10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10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10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10"/>
      <c r="GJ246" s="9"/>
      <c r="GK246" s="9"/>
    </row>
    <row r="247" spans="1:193" s="2" customFormat="1" ht="16.95" customHeight="1">
      <c r="A247" s="14" t="s">
        <v>244</v>
      </c>
      <c r="B247" s="38">
        <v>0</v>
      </c>
      <c r="C247" s="38">
        <v>0</v>
      </c>
      <c r="D247" s="4">
        <f t="shared" si="68"/>
        <v>0</v>
      </c>
      <c r="E247" s="11">
        <v>0</v>
      </c>
      <c r="F247" s="5" t="s">
        <v>371</v>
      </c>
      <c r="G247" s="5" t="s">
        <v>371</v>
      </c>
      <c r="H247" s="5" t="s">
        <v>371</v>
      </c>
      <c r="I247" s="5" t="s">
        <v>371</v>
      </c>
      <c r="J247" s="5" t="s">
        <v>371</v>
      </c>
      <c r="K247" s="5" t="s">
        <v>371</v>
      </c>
      <c r="L247" s="5" t="s">
        <v>371</v>
      </c>
      <c r="M247" s="5" t="s">
        <v>371</v>
      </c>
      <c r="N247" s="38">
        <v>236.7</v>
      </c>
      <c r="O247" s="38">
        <v>194</v>
      </c>
      <c r="P247" s="4">
        <f t="shared" si="69"/>
        <v>0.81960287283481204</v>
      </c>
      <c r="Q247" s="11">
        <v>20</v>
      </c>
      <c r="R247" s="11">
        <v>1</v>
      </c>
      <c r="S247" s="11">
        <v>15</v>
      </c>
      <c r="T247" s="38">
        <v>5</v>
      </c>
      <c r="U247" s="38">
        <v>6</v>
      </c>
      <c r="V247" s="4">
        <f t="shared" si="70"/>
        <v>1.2</v>
      </c>
      <c r="W247" s="11">
        <v>10</v>
      </c>
      <c r="X247" s="38">
        <v>3.3</v>
      </c>
      <c r="Y247" s="38">
        <v>3.4</v>
      </c>
      <c r="Z247" s="4">
        <f t="shared" si="71"/>
        <v>1.0303030303030303</v>
      </c>
      <c r="AA247" s="11">
        <v>40</v>
      </c>
      <c r="AB247" s="50">
        <f t="shared" si="76"/>
        <v>0.99534327845667581</v>
      </c>
      <c r="AC247" s="50">
        <f t="shared" si="77"/>
        <v>0.99534327845667581</v>
      </c>
      <c r="AD247" s="51">
        <v>1776</v>
      </c>
      <c r="AE247" s="38">
        <f t="shared" si="72"/>
        <v>161.45454545454547</v>
      </c>
      <c r="AF247" s="38">
        <f t="shared" si="73"/>
        <v>160.69999999999999</v>
      </c>
      <c r="AG247" s="38">
        <f t="shared" si="67"/>
        <v>-0.75454545454547883</v>
      </c>
      <c r="AH247" s="38">
        <v>2.2000000000000002</v>
      </c>
      <c r="AI247" s="38">
        <f t="shared" si="74"/>
        <v>162.89999999999998</v>
      </c>
      <c r="AJ247" s="38"/>
      <c r="AK247" s="38">
        <f t="shared" si="75"/>
        <v>162.9</v>
      </c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10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10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10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10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10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10"/>
      <c r="GJ247" s="9"/>
      <c r="GK247" s="9"/>
    </row>
    <row r="248" spans="1:193" s="2" customFormat="1" ht="16.95" customHeight="1">
      <c r="A248" s="14" t="s">
        <v>245</v>
      </c>
      <c r="B248" s="38">
        <v>767</v>
      </c>
      <c r="C248" s="38">
        <v>298.89999999999998</v>
      </c>
      <c r="D248" s="4">
        <f t="shared" si="68"/>
        <v>0.38970013037809648</v>
      </c>
      <c r="E248" s="11">
        <v>10</v>
      </c>
      <c r="F248" s="5" t="s">
        <v>371</v>
      </c>
      <c r="G248" s="5" t="s">
        <v>371</v>
      </c>
      <c r="H248" s="5" t="s">
        <v>371</v>
      </c>
      <c r="I248" s="5" t="s">
        <v>371</v>
      </c>
      <c r="J248" s="5" t="s">
        <v>371</v>
      </c>
      <c r="K248" s="5" t="s">
        <v>371</v>
      </c>
      <c r="L248" s="5" t="s">
        <v>371</v>
      </c>
      <c r="M248" s="5" t="s">
        <v>371</v>
      </c>
      <c r="N248" s="38">
        <v>193.8</v>
      </c>
      <c r="O248" s="38">
        <v>79</v>
      </c>
      <c r="P248" s="4">
        <f t="shared" si="69"/>
        <v>0.4076367389060887</v>
      </c>
      <c r="Q248" s="11">
        <v>20</v>
      </c>
      <c r="R248" s="11">
        <v>1</v>
      </c>
      <c r="S248" s="11">
        <v>15</v>
      </c>
      <c r="T248" s="38">
        <v>31</v>
      </c>
      <c r="U248" s="38">
        <v>39.9</v>
      </c>
      <c r="V248" s="4">
        <f t="shared" si="70"/>
        <v>1.2870967741935484</v>
      </c>
      <c r="W248" s="11">
        <v>25</v>
      </c>
      <c r="X248" s="38">
        <v>4.5999999999999996</v>
      </c>
      <c r="Y248" s="38">
        <v>6.2</v>
      </c>
      <c r="Z248" s="4">
        <f t="shared" si="71"/>
        <v>1.347826086956522</v>
      </c>
      <c r="AA248" s="11">
        <v>25</v>
      </c>
      <c r="AB248" s="50">
        <f t="shared" si="76"/>
        <v>0.97813481695425797</v>
      </c>
      <c r="AC248" s="50">
        <f t="shared" si="77"/>
        <v>0.97813481695425797</v>
      </c>
      <c r="AD248" s="51">
        <v>1054</v>
      </c>
      <c r="AE248" s="38">
        <f t="shared" si="72"/>
        <v>95.818181818181813</v>
      </c>
      <c r="AF248" s="38">
        <f t="shared" si="73"/>
        <v>93.7</v>
      </c>
      <c r="AG248" s="38">
        <f t="shared" si="67"/>
        <v>-2.1181818181818102</v>
      </c>
      <c r="AH248" s="38">
        <v>22.1</v>
      </c>
      <c r="AI248" s="38">
        <f t="shared" si="74"/>
        <v>115.80000000000001</v>
      </c>
      <c r="AJ248" s="38"/>
      <c r="AK248" s="38">
        <f t="shared" si="75"/>
        <v>115.8</v>
      </c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10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10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10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10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10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10"/>
      <c r="GJ248" s="9"/>
      <c r="GK248" s="9"/>
    </row>
    <row r="249" spans="1:193" s="2" customFormat="1" ht="16.95" customHeight="1">
      <c r="A249" s="14" t="s">
        <v>246</v>
      </c>
      <c r="B249" s="38">
        <v>0</v>
      </c>
      <c r="C249" s="38">
        <v>0</v>
      </c>
      <c r="D249" s="4">
        <f t="shared" si="68"/>
        <v>0</v>
      </c>
      <c r="E249" s="11">
        <v>0</v>
      </c>
      <c r="F249" s="5" t="s">
        <v>371</v>
      </c>
      <c r="G249" s="5" t="s">
        <v>371</v>
      </c>
      <c r="H249" s="5" t="s">
        <v>371</v>
      </c>
      <c r="I249" s="5" t="s">
        <v>371</v>
      </c>
      <c r="J249" s="5" t="s">
        <v>371</v>
      </c>
      <c r="K249" s="5" t="s">
        <v>371</v>
      </c>
      <c r="L249" s="5" t="s">
        <v>371</v>
      </c>
      <c r="M249" s="5" t="s">
        <v>371</v>
      </c>
      <c r="N249" s="38">
        <v>253.4</v>
      </c>
      <c r="O249" s="38">
        <v>296.60000000000002</v>
      </c>
      <c r="P249" s="4">
        <f t="shared" si="69"/>
        <v>1.170481452249408</v>
      </c>
      <c r="Q249" s="11">
        <v>20</v>
      </c>
      <c r="R249" s="11">
        <v>1</v>
      </c>
      <c r="S249" s="11">
        <v>15</v>
      </c>
      <c r="T249" s="38">
        <v>13</v>
      </c>
      <c r="U249" s="38">
        <v>14.5</v>
      </c>
      <c r="V249" s="4">
        <f t="shared" si="70"/>
        <v>1.1153846153846154</v>
      </c>
      <c r="W249" s="11">
        <v>20</v>
      </c>
      <c r="X249" s="38">
        <v>6.1</v>
      </c>
      <c r="Y249" s="38">
        <v>6.5</v>
      </c>
      <c r="Z249" s="4">
        <f t="shared" si="71"/>
        <v>1.0655737704918034</v>
      </c>
      <c r="AA249" s="11">
        <v>30</v>
      </c>
      <c r="AB249" s="50">
        <f t="shared" si="76"/>
        <v>1.0904062878521714</v>
      </c>
      <c r="AC249" s="50">
        <f t="shared" si="77"/>
        <v>1.0904062878521714</v>
      </c>
      <c r="AD249" s="51">
        <v>1387</v>
      </c>
      <c r="AE249" s="38">
        <f t="shared" si="72"/>
        <v>126.09090909090909</v>
      </c>
      <c r="AF249" s="38">
        <f t="shared" si="73"/>
        <v>137.5</v>
      </c>
      <c r="AG249" s="38">
        <f t="shared" si="67"/>
        <v>11.409090909090907</v>
      </c>
      <c r="AH249" s="38">
        <v>16.7</v>
      </c>
      <c r="AI249" s="38">
        <f t="shared" si="74"/>
        <v>154.19999999999999</v>
      </c>
      <c r="AJ249" s="38"/>
      <c r="AK249" s="38">
        <f t="shared" si="75"/>
        <v>154.19999999999999</v>
      </c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10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10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10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10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10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10"/>
      <c r="GJ249" s="9"/>
      <c r="GK249" s="9"/>
    </row>
    <row r="250" spans="1:193" s="2" customFormat="1" ht="16.95" customHeight="1">
      <c r="A250" s="14" t="s">
        <v>247</v>
      </c>
      <c r="B250" s="38">
        <v>0</v>
      </c>
      <c r="C250" s="38">
        <v>0</v>
      </c>
      <c r="D250" s="4">
        <f t="shared" si="68"/>
        <v>0</v>
      </c>
      <c r="E250" s="11">
        <v>0</v>
      </c>
      <c r="F250" s="5" t="s">
        <v>371</v>
      </c>
      <c r="G250" s="5" t="s">
        <v>371</v>
      </c>
      <c r="H250" s="5" t="s">
        <v>371</v>
      </c>
      <c r="I250" s="5" t="s">
        <v>371</v>
      </c>
      <c r="J250" s="5" t="s">
        <v>371</v>
      </c>
      <c r="K250" s="5" t="s">
        <v>371</v>
      </c>
      <c r="L250" s="5" t="s">
        <v>371</v>
      </c>
      <c r="M250" s="5" t="s">
        <v>371</v>
      </c>
      <c r="N250" s="38">
        <v>387.4</v>
      </c>
      <c r="O250" s="38">
        <v>72</v>
      </c>
      <c r="P250" s="4">
        <f t="shared" si="69"/>
        <v>0.18585441404233352</v>
      </c>
      <c r="Q250" s="11">
        <v>20</v>
      </c>
      <c r="R250" s="11">
        <v>1</v>
      </c>
      <c r="S250" s="11">
        <v>15</v>
      </c>
      <c r="T250" s="38">
        <v>2</v>
      </c>
      <c r="U250" s="38">
        <v>2.2000000000000002</v>
      </c>
      <c r="V250" s="4">
        <f t="shared" si="70"/>
        <v>1.1000000000000001</v>
      </c>
      <c r="W250" s="11">
        <v>25</v>
      </c>
      <c r="X250" s="38">
        <v>1</v>
      </c>
      <c r="Y250" s="38">
        <v>2.6</v>
      </c>
      <c r="Z250" s="4">
        <f t="shared" si="71"/>
        <v>2.6</v>
      </c>
      <c r="AA250" s="11">
        <v>25</v>
      </c>
      <c r="AB250" s="50">
        <f t="shared" si="76"/>
        <v>1.3084363327158433</v>
      </c>
      <c r="AC250" s="50">
        <f t="shared" si="77"/>
        <v>1.2108436332715842</v>
      </c>
      <c r="AD250" s="51">
        <v>556</v>
      </c>
      <c r="AE250" s="38">
        <f t="shared" si="72"/>
        <v>50.545454545454547</v>
      </c>
      <c r="AF250" s="38">
        <f t="shared" si="73"/>
        <v>61.2</v>
      </c>
      <c r="AG250" s="38">
        <f t="shared" si="67"/>
        <v>10.654545454545456</v>
      </c>
      <c r="AH250" s="38">
        <v>8.6</v>
      </c>
      <c r="AI250" s="38">
        <f t="shared" si="74"/>
        <v>69.8</v>
      </c>
      <c r="AJ250" s="38"/>
      <c r="AK250" s="38">
        <f t="shared" si="75"/>
        <v>69.8</v>
      </c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10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10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10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10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10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10"/>
      <c r="GJ250" s="9"/>
      <c r="GK250" s="9"/>
    </row>
    <row r="251" spans="1:193" s="2" customFormat="1" ht="16.95" customHeight="1">
      <c r="A251" s="14" t="s">
        <v>248</v>
      </c>
      <c r="B251" s="38">
        <v>0</v>
      </c>
      <c r="C251" s="38">
        <v>0</v>
      </c>
      <c r="D251" s="4">
        <f t="shared" si="68"/>
        <v>0</v>
      </c>
      <c r="E251" s="11">
        <v>0</v>
      </c>
      <c r="F251" s="5" t="s">
        <v>371</v>
      </c>
      <c r="G251" s="5" t="s">
        <v>371</v>
      </c>
      <c r="H251" s="5" t="s">
        <v>371</v>
      </c>
      <c r="I251" s="5" t="s">
        <v>371</v>
      </c>
      <c r="J251" s="5" t="s">
        <v>371</v>
      </c>
      <c r="K251" s="5" t="s">
        <v>371</v>
      </c>
      <c r="L251" s="5" t="s">
        <v>371</v>
      </c>
      <c r="M251" s="5" t="s">
        <v>371</v>
      </c>
      <c r="N251" s="38">
        <v>92</v>
      </c>
      <c r="O251" s="38">
        <v>67.3</v>
      </c>
      <c r="P251" s="4">
        <f t="shared" si="69"/>
        <v>0.73152173913043472</v>
      </c>
      <c r="Q251" s="11">
        <v>20</v>
      </c>
      <c r="R251" s="11">
        <v>1</v>
      </c>
      <c r="S251" s="11">
        <v>15</v>
      </c>
      <c r="T251" s="38">
        <v>35</v>
      </c>
      <c r="U251" s="38">
        <v>47.2</v>
      </c>
      <c r="V251" s="4">
        <f t="shared" si="70"/>
        <v>1.3485714285714288</v>
      </c>
      <c r="W251" s="11">
        <v>40</v>
      </c>
      <c r="X251" s="38">
        <v>2.1</v>
      </c>
      <c r="Y251" s="38">
        <v>2.2000000000000002</v>
      </c>
      <c r="Z251" s="4">
        <f t="shared" si="71"/>
        <v>1.0476190476190477</v>
      </c>
      <c r="AA251" s="11">
        <v>10</v>
      </c>
      <c r="AB251" s="50">
        <f t="shared" si="76"/>
        <v>1.1064644988430155</v>
      </c>
      <c r="AC251" s="50">
        <f t="shared" si="77"/>
        <v>1.1064644988430155</v>
      </c>
      <c r="AD251" s="51">
        <v>1364</v>
      </c>
      <c r="AE251" s="38">
        <f t="shared" si="72"/>
        <v>124</v>
      </c>
      <c r="AF251" s="38">
        <f t="shared" si="73"/>
        <v>137.19999999999999</v>
      </c>
      <c r="AG251" s="38">
        <f t="shared" si="67"/>
        <v>13.199999999999989</v>
      </c>
      <c r="AH251" s="38">
        <v>-5.5</v>
      </c>
      <c r="AI251" s="38">
        <f t="shared" si="74"/>
        <v>131.69999999999999</v>
      </c>
      <c r="AJ251" s="38"/>
      <c r="AK251" s="38">
        <f t="shared" si="75"/>
        <v>131.69999999999999</v>
      </c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10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10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10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10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10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10"/>
      <c r="GJ251" s="9"/>
      <c r="GK251" s="9"/>
    </row>
    <row r="252" spans="1:193" s="2" customFormat="1" ht="16.95" customHeight="1">
      <c r="A252" s="14" t="s">
        <v>249</v>
      </c>
      <c r="B252" s="38">
        <v>0</v>
      </c>
      <c r="C252" s="38">
        <v>0</v>
      </c>
      <c r="D252" s="4">
        <f t="shared" si="68"/>
        <v>0</v>
      </c>
      <c r="E252" s="11">
        <v>0</v>
      </c>
      <c r="F252" s="5" t="s">
        <v>371</v>
      </c>
      <c r="G252" s="5" t="s">
        <v>371</v>
      </c>
      <c r="H252" s="5" t="s">
        <v>371</v>
      </c>
      <c r="I252" s="5" t="s">
        <v>371</v>
      </c>
      <c r="J252" s="5" t="s">
        <v>371</v>
      </c>
      <c r="K252" s="5" t="s">
        <v>371</v>
      </c>
      <c r="L252" s="5" t="s">
        <v>371</v>
      </c>
      <c r="M252" s="5" t="s">
        <v>371</v>
      </c>
      <c r="N252" s="38">
        <v>138.6</v>
      </c>
      <c r="O252" s="38">
        <v>86.6</v>
      </c>
      <c r="P252" s="4">
        <f t="shared" si="69"/>
        <v>0.62481962481962483</v>
      </c>
      <c r="Q252" s="11">
        <v>20</v>
      </c>
      <c r="R252" s="11">
        <v>1</v>
      </c>
      <c r="S252" s="11">
        <v>15</v>
      </c>
      <c r="T252" s="38">
        <v>15</v>
      </c>
      <c r="U252" s="38">
        <v>15</v>
      </c>
      <c r="V252" s="4">
        <f t="shared" si="70"/>
        <v>1</v>
      </c>
      <c r="W252" s="11">
        <v>25</v>
      </c>
      <c r="X252" s="38">
        <v>2.2000000000000002</v>
      </c>
      <c r="Y252" s="38">
        <v>4.0999999999999996</v>
      </c>
      <c r="Z252" s="4">
        <f t="shared" si="71"/>
        <v>1.8636363636363633</v>
      </c>
      <c r="AA252" s="11">
        <v>25</v>
      </c>
      <c r="AB252" s="50">
        <f t="shared" si="76"/>
        <v>1.1657329598506068</v>
      </c>
      <c r="AC252" s="50">
        <f t="shared" si="77"/>
        <v>1.1657329598506068</v>
      </c>
      <c r="AD252" s="51">
        <v>2666</v>
      </c>
      <c r="AE252" s="38">
        <f t="shared" si="72"/>
        <v>242.36363636363637</v>
      </c>
      <c r="AF252" s="38">
        <f t="shared" si="73"/>
        <v>282.5</v>
      </c>
      <c r="AG252" s="38">
        <f t="shared" si="67"/>
        <v>40.136363636363626</v>
      </c>
      <c r="AH252" s="38">
        <v>40.9</v>
      </c>
      <c r="AI252" s="38">
        <f t="shared" si="74"/>
        <v>323.39999999999998</v>
      </c>
      <c r="AJ252" s="38"/>
      <c r="AK252" s="38">
        <f t="shared" si="75"/>
        <v>323.39999999999998</v>
      </c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10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10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10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10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10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10"/>
      <c r="GJ252" s="9"/>
      <c r="GK252" s="9"/>
    </row>
    <row r="253" spans="1:193" s="2" customFormat="1" ht="16.95" customHeight="1">
      <c r="A253" s="14" t="s">
        <v>250</v>
      </c>
      <c r="B253" s="38">
        <v>0</v>
      </c>
      <c r="C253" s="38">
        <v>0</v>
      </c>
      <c r="D253" s="4">
        <f t="shared" si="68"/>
        <v>0</v>
      </c>
      <c r="E253" s="11">
        <v>0</v>
      </c>
      <c r="F253" s="5" t="s">
        <v>371</v>
      </c>
      <c r="G253" s="5" t="s">
        <v>371</v>
      </c>
      <c r="H253" s="5" t="s">
        <v>371</v>
      </c>
      <c r="I253" s="5" t="s">
        <v>371</v>
      </c>
      <c r="J253" s="5" t="s">
        <v>371</v>
      </c>
      <c r="K253" s="5" t="s">
        <v>371</v>
      </c>
      <c r="L253" s="5" t="s">
        <v>371</v>
      </c>
      <c r="M253" s="5" t="s">
        <v>371</v>
      </c>
      <c r="N253" s="38">
        <v>207.9</v>
      </c>
      <c r="O253" s="38">
        <v>116.2</v>
      </c>
      <c r="P253" s="4">
        <f t="shared" si="69"/>
        <v>0.55892255892255893</v>
      </c>
      <c r="Q253" s="11">
        <v>20</v>
      </c>
      <c r="R253" s="11">
        <v>1</v>
      </c>
      <c r="S253" s="11">
        <v>15</v>
      </c>
      <c r="T253" s="38">
        <v>128</v>
      </c>
      <c r="U253" s="38">
        <v>100.2</v>
      </c>
      <c r="V253" s="4">
        <f t="shared" si="70"/>
        <v>0.78281250000000002</v>
      </c>
      <c r="W253" s="11">
        <v>20</v>
      </c>
      <c r="X253" s="38">
        <v>12.7</v>
      </c>
      <c r="Y253" s="38">
        <v>24</v>
      </c>
      <c r="Z253" s="4">
        <f t="shared" si="71"/>
        <v>1.8897637795275593</v>
      </c>
      <c r="AA253" s="11">
        <v>30</v>
      </c>
      <c r="AB253" s="50">
        <f t="shared" si="76"/>
        <v>1.1591484066385642</v>
      </c>
      <c r="AC253" s="50">
        <f t="shared" si="77"/>
        <v>1.1591484066385642</v>
      </c>
      <c r="AD253" s="51">
        <v>1687</v>
      </c>
      <c r="AE253" s="38">
        <f t="shared" si="72"/>
        <v>153.36363636363637</v>
      </c>
      <c r="AF253" s="38">
        <f t="shared" si="73"/>
        <v>177.8</v>
      </c>
      <c r="AG253" s="38">
        <f t="shared" si="67"/>
        <v>24.436363636363637</v>
      </c>
      <c r="AH253" s="38">
        <v>24.6</v>
      </c>
      <c r="AI253" s="38">
        <f t="shared" si="74"/>
        <v>202.4</v>
      </c>
      <c r="AJ253" s="38"/>
      <c r="AK253" s="38">
        <f t="shared" si="75"/>
        <v>202.4</v>
      </c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10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10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10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10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10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10"/>
      <c r="GJ253" s="9"/>
      <c r="GK253" s="9"/>
    </row>
    <row r="254" spans="1:193" s="2" customFormat="1" ht="16.95" customHeight="1">
      <c r="A254" s="14" t="s">
        <v>251</v>
      </c>
      <c r="B254" s="38">
        <v>4651</v>
      </c>
      <c r="C254" s="38">
        <v>4909</v>
      </c>
      <c r="D254" s="4">
        <f t="shared" si="68"/>
        <v>1.0554719415179532</v>
      </c>
      <c r="E254" s="11">
        <v>10</v>
      </c>
      <c r="F254" s="5" t="s">
        <v>371</v>
      </c>
      <c r="G254" s="5" t="s">
        <v>371</v>
      </c>
      <c r="H254" s="5" t="s">
        <v>371</v>
      </c>
      <c r="I254" s="5" t="s">
        <v>371</v>
      </c>
      <c r="J254" s="5" t="s">
        <v>371</v>
      </c>
      <c r="K254" s="5" t="s">
        <v>371</v>
      </c>
      <c r="L254" s="5" t="s">
        <v>371</v>
      </c>
      <c r="M254" s="5" t="s">
        <v>371</v>
      </c>
      <c r="N254" s="38">
        <v>487</v>
      </c>
      <c r="O254" s="38">
        <v>288.8</v>
      </c>
      <c r="P254" s="4">
        <f t="shared" si="69"/>
        <v>0.59301848049281314</v>
      </c>
      <c r="Q254" s="11">
        <v>20</v>
      </c>
      <c r="R254" s="11">
        <v>1</v>
      </c>
      <c r="S254" s="11">
        <v>15</v>
      </c>
      <c r="T254" s="38">
        <v>14</v>
      </c>
      <c r="U254" s="38">
        <v>28.5</v>
      </c>
      <c r="V254" s="4">
        <f t="shared" si="70"/>
        <v>2.0357142857142856</v>
      </c>
      <c r="W254" s="11">
        <v>25</v>
      </c>
      <c r="X254" s="38">
        <v>2.5</v>
      </c>
      <c r="Y254" s="38">
        <v>3.6</v>
      </c>
      <c r="Z254" s="4">
        <f t="shared" si="71"/>
        <v>1.44</v>
      </c>
      <c r="AA254" s="11">
        <v>25</v>
      </c>
      <c r="AB254" s="50">
        <f t="shared" si="76"/>
        <v>1.3085046965041363</v>
      </c>
      <c r="AC254" s="50">
        <f t="shared" si="77"/>
        <v>1.2108504696504137</v>
      </c>
      <c r="AD254" s="51">
        <v>2891</v>
      </c>
      <c r="AE254" s="38">
        <f t="shared" si="72"/>
        <v>262.81818181818181</v>
      </c>
      <c r="AF254" s="38">
        <f t="shared" si="73"/>
        <v>318.2</v>
      </c>
      <c r="AG254" s="38">
        <f t="shared" si="67"/>
        <v>55.381818181818176</v>
      </c>
      <c r="AH254" s="38">
        <v>9.9</v>
      </c>
      <c r="AI254" s="38">
        <f t="shared" si="74"/>
        <v>328.09999999999997</v>
      </c>
      <c r="AJ254" s="38"/>
      <c r="AK254" s="38">
        <f t="shared" si="75"/>
        <v>328.1</v>
      </c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10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10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10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10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10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10"/>
      <c r="GJ254" s="9"/>
      <c r="GK254" s="9"/>
    </row>
    <row r="255" spans="1:193" s="2" customFormat="1" ht="16.95" customHeight="1">
      <c r="A255" s="14" t="s">
        <v>252</v>
      </c>
      <c r="B255" s="38">
        <v>0</v>
      </c>
      <c r="C255" s="38">
        <v>0</v>
      </c>
      <c r="D255" s="4">
        <f t="shared" si="68"/>
        <v>0</v>
      </c>
      <c r="E255" s="11">
        <v>0</v>
      </c>
      <c r="F255" s="5" t="s">
        <v>371</v>
      </c>
      <c r="G255" s="5" t="s">
        <v>371</v>
      </c>
      <c r="H255" s="5" t="s">
        <v>371</v>
      </c>
      <c r="I255" s="5" t="s">
        <v>371</v>
      </c>
      <c r="J255" s="5" t="s">
        <v>371</v>
      </c>
      <c r="K255" s="5" t="s">
        <v>371</v>
      </c>
      <c r="L255" s="5" t="s">
        <v>371</v>
      </c>
      <c r="M255" s="5" t="s">
        <v>371</v>
      </c>
      <c r="N255" s="38">
        <v>212.4</v>
      </c>
      <c r="O255" s="38">
        <v>122.5</v>
      </c>
      <c r="P255" s="4">
        <f t="shared" si="69"/>
        <v>0.57674199623352163</v>
      </c>
      <c r="Q255" s="11">
        <v>20</v>
      </c>
      <c r="R255" s="11">
        <v>1</v>
      </c>
      <c r="S255" s="11">
        <v>15</v>
      </c>
      <c r="T255" s="38">
        <v>6</v>
      </c>
      <c r="U255" s="38">
        <v>6</v>
      </c>
      <c r="V255" s="4">
        <f t="shared" si="70"/>
        <v>1</v>
      </c>
      <c r="W255" s="11">
        <v>20</v>
      </c>
      <c r="X255" s="38">
        <v>2.5</v>
      </c>
      <c r="Y255" s="38">
        <v>2.2999999999999998</v>
      </c>
      <c r="Z255" s="4">
        <f t="shared" si="71"/>
        <v>0.91999999999999993</v>
      </c>
      <c r="AA255" s="11">
        <v>30</v>
      </c>
      <c r="AB255" s="50">
        <f t="shared" si="76"/>
        <v>0.87217458734906383</v>
      </c>
      <c r="AC255" s="50">
        <f t="shared" si="77"/>
        <v>0.87217458734906383</v>
      </c>
      <c r="AD255" s="51">
        <v>1896</v>
      </c>
      <c r="AE255" s="38">
        <f t="shared" si="72"/>
        <v>172.36363636363637</v>
      </c>
      <c r="AF255" s="38">
        <f t="shared" si="73"/>
        <v>150.30000000000001</v>
      </c>
      <c r="AG255" s="38">
        <f t="shared" si="67"/>
        <v>-22.063636363636363</v>
      </c>
      <c r="AH255" s="38">
        <v>30.7</v>
      </c>
      <c r="AI255" s="38">
        <f t="shared" si="74"/>
        <v>181</v>
      </c>
      <c r="AJ255" s="38"/>
      <c r="AK255" s="38">
        <f t="shared" si="75"/>
        <v>181</v>
      </c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10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10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10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10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10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10"/>
      <c r="GJ255" s="9"/>
      <c r="GK255" s="9"/>
    </row>
    <row r="256" spans="1:193" s="2" customFormat="1" ht="16.95" customHeight="1">
      <c r="A256" s="14" t="s">
        <v>253</v>
      </c>
      <c r="B256" s="38">
        <v>1266</v>
      </c>
      <c r="C256" s="38">
        <v>1254</v>
      </c>
      <c r="D256" s="4">
        <f t="shared" si="68"/>
        <v>0.99052132701421802</v>
      </c>
      <c r="E256" s="11">
        <v>10</v>
      </c>
      <c r="F256" s="5" t="s">
        <v>371</v>
      </c>
      <c r="G256" s="5" t="s">
        <v>371</v>
      </c>
      <c r="H256" s="5" t="s">
        <v>371</v>
      </c>
      <c r="I256" s="5" t="s">
        <v>371</v>
      </c>
      <c r="J256" s="5" t="s">
        <v>371</v>
      </c>
      <c r="K256" s="5" t="s">
        <v>371</v>
      </c>
      <c r="L256" s="5" t="s">
        <v>371</v>
      </c>
      <c r="M256" s="5" t="s">
        <v>371</v>
      </c>
      <c r="N256" s="38">
        <v>1297.4000000000001</v>
      </c>
      <c r="O256" s="38">
        <v>924.7</v>
      </c>
      <c r="P256" s="4">
        <f t="shared" si="69"/>
        <v>0.71273315862494213</v>
      </c>
      <c r="Q256" s="11">
        <v>20</v>
      </c>
      <c r="R256" s="11">
        <v>1</v>
      </c>
      <c r="S256" s="11">
        <v>15</v>
      </c>
      <c r="T256" s="38">
        <v>492</v>
      </c>
      <c r="U256" s="38">
        <v>395.7</v>
      </c>
      <c r="V256" s="4">
        <f t="shared" si="70"/>
        <v>0.80426829268292677</v>
      </c>
      <c r="W256" s="11">
        <v>10</v>
      </c>
      <c r="X256" s="38">
        <v>407</v>
      </c>
      <c r="Y256" s="38">
        <v>418.2</v>
      </c>
      <c r="Z256" s="4">
        <f t="shared" si="71"/>
        <v>1.0275184275184275</v>
      </c>
      <c r="AA256" s="11">
        <v>40</v>
      </c>
      <c r="AB256" s="50">
        <f t="shared" si="76"/>
        <v>0.92950838389691981</v>
      </c>
      <c r="AC256" s="50">
        <f t="shared" si="77"/>
        <v>0.92950838389691981</v>
      </c>
      <c r="AD256" s="51">
        <v>1377</v>
      </c>
      <c r="AE256" s="38">
        <f t="shared" si="72"/>
        <v>125.18181818181819</v>
      </c>
      <c r="AF256" s="38">
        <f t="shared" si="73"/>
        <v>116.4</v>
      </c>
      <c r="AG256" s="38">
        <f t="shared" si="67"/>
        <v>-8.7818181818181813</v>
      </c>
      <c r="AH256" s="38">
        <v>-0.8</v>
      </c>
      <c r="AI256" s="38">
        <f t="shared" si="74"/>
        <v>115.60000000000001</v>
      </c>
      <c r="AJ256" s="38"/>
      <c r="AK256" s="38">
        <f t="shared" si="75"/>
        <v>115.6</v>
      </c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10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10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10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10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10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10"/>
      <c r="GJ256" s="9"/>
      <c r="GK256" s="9"/>
    </row>
    <row r="257" spans="1:193" s="2" customFormat="1" ht="16.95" customHeight="1">
      <c r="A257" s="14" t="s">
        <v>254</v>
      </c>
      <c r="B257" s="38">
        <v>0</v>
      </c>
      <c r="C257" s="38">
        <v>0</v>
      </c>
      <c r="D257" s="4">
        <f t="shared" si="68"/>
        <v>0</v>
      </c>
      <c r="E257" s="11">
        <v>0</v>
      </c>
      <c r="F257" s="5" t="s">
        <v>371</v>
      </c>
      <c r="G257" s="5" t="s">
        <v>371</v>
      </c>
      <c r="H257" s="5" t="s">
        <v>371</v>
      </c>
      <c r="I257" s="5" t="s">
        <v>371</v>
      </c>
      <c r="J257" s="5" t="s">
        <v>371</v>
      </c>
      <c r="K257" s="5" t="s">
        <v>371</v>
      </c>
      <c r="L257" s="5" t="s">
        <v>371</v>
      </c>
      <c r="M257" s="5" t="s">
        <v>371</v>
      </c>
      <c r="N257" s="38">
        <v>235.4</v>
      </c>
      <c r="O257" s="38">
        <v>159</v>
      </c>
      <c r="P257" s="4">
        <f t="shared" si="69"/>
        <v>0.67544604927782492</v>
      </c>
      <c r="Q257" s="11">
        <v>20</v>
      </c>
      <c r="R257" s="11">
        <v>1</v>
      </c>
      <c r="S257" s="11">
        <v>15</v>
      </c>
      <c r="T257" s="38">
        <v>97</v>
      </c>
      <c r="U257" s="38">
        <v>110.5</v>
      </c>
      <c r="V257" s="4">
        <f t="shared" si="70"/>
        <v>1.1391752577319587</v>
      </c>
      <c r="W257" s="11">
        <v>30</v>
      </c>
      <c r="X257" s="38">
        <v>7.9</v>
      </c>
      <c r="Y257" s="38">
        <v>8</v>
      </c>
      <c r="Z257" s="4">
        <f t="shared" si="71"/>
        <v>1.0126582278481011</v>
      </c>
      <c r="AA257" s="11">
        <v>20</v>
      </c>
      <c r="AB257" s="50">
        <f t="shared" si="76"/>
        <v>0.9757334502879681</v>
      </c>
      <c r="AC257" s="50">
        <f t="shared" si="77"/>
        <v>0.9757334502879681</v>
      </c>
      <c r="AD257" s="51">
        <v>2825</v>
      </c>
      <c r="AE257" s="38">
        <f t="shared" si="72"/>
        <v>256.81818181818181</v>
      </c>
      <c r="AF257" s="38">
        <f t="shared" si="73"/>
        <v>250.6</v>
      </c>
      <c r="AG257" s="38">
        <f t="shared" si="67"/>
        <v>-6.2181818181818187</v>
      </c>
      <c r="AH257" s="38">
        <v>-1.1000000000000001</v>
      </c>
      <c r="AI257" s="38">
        <f t="shared" si="74"/>
        <v>249.5</v>
      </c>
      <c r="AJ257" s="38"/>
      <c r="AK257" s="38">
        <f t="shared" si="75"/>
        <v>249.5</v>
      </c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10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10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10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10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10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10"/>
      <c r="GJ257" s="9"/>
      <c r="GK257" s="9"/>
    </row>
    <row r="258" spans="1:193" s="2" customFormat="1" ht="16.95" customHeight="1">
      <c r="A258" s="14" t="s">
        <v>255</v>
      </c>
      <c r="B258" s="38">
        <v>0</v>
      </c>
      <c r="C258" s="38">
        <v>0</v>
      </c>
      <c r="D258" s="4">
        <f t="shared" si="68"/>
        <v>0</v>
      </c>
      <c r="E258" s="11">
        <v>0</v>
      </c>
      <c r="F258" s="5" t="s">
        <v>371</v>
      </c>
      <c r="G258" s="5" t="s">
        <v>371</v>
      </c>
      <c r="H258" s="5" t="s">
        <v>371</v>
      </c>
      <c r="I258" s="5" t="s">
        <v>371</v>
      </c>
      <c r="J258" s="5" t="s">
        <v>371</v>
      </c>
      <c r="K258" s="5" t="s">
        <v>371</v>
      </c>
      <c r="L258" s="5" t="s">
        <v>371</v>
      </c>
      <c r="M258" s="5" t="s">
        <v>371</v>
      </c>
      <c r="N258" s="38">
        <v>186</v>
      </c>
      <c r="O258" s="38">
        <v>166.3</v>
      </c>
      <c r="P258" s="4">
        <f t="shared" si="69"/>
        <v>0.89408602150537642</v>
      </c>
      <c r="Q258" s="11">
        <v>20</v>
      </c>
      <c r="R258" s="11">
        <v>1</v>
      </c>
      <c r="S258" s="11">
        <v>15</v>
      </c>
      <c r="T258" s="38">
        <v>7</v>
      </c>
      <c r="U258" s="38">
        <v>7.1</v>
      </c>
      <c r="V258" s="4">
        <f t="shared" si="70"/>
        <v>1.0142857142857142</v>
      </c>
      <c r="W258" s="11">
        <v>20</v>
      </c>
      <c r="X258" s="38">
        <v>2.8</v>
      </c>
      <c r="Y258" s="38">
        <v>2.8</v>
      </c>
      <c r="Z258" s="4">
        <f t="shared" si="71"/>
        <v>1</v>
      </c>
      <c r="AA258" s="11">
        <v>30</v>
      </c>
      <c r="AB258" s="50">
        <f t="shared" si="76"/>
        <v>0.97844040842143309</v>
      </c>
      <c r="AC258" s="50">
        <f t="shared" si="77"/>
        <v>0.97844040842143309</v>
      </c>
      <c r="AD258" s="51">
        <v>1753</v>
      </c>
      <c r="AE258" s="38">
        <f t="shared" si="72"/>
        <v>159.36363636363637</v>
      </c>
      <c r="AF258" s="38">
        <f t="shared" si="73"/>
        <v>155.9</v>
      </c>
      <c r="AG258" s="38">
        <f t="shared" si="67"/>
        <v>-3.4636363636363683</v>
      </c>
      <c r="AH258" s="38">
        <v>0.1</v>
      </c>
      <c r="AI258" s="38">
        <f t="shared" si="74"/>
        <v>156</v>
      </c>
      <c r="AJ258" s="38"/>
      <c r="AK258" s="38">
        <f t="shared" si="75"/>
        <v>156</v>
      </c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10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10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10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10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10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10"/>
      <c r="GJ258" s="9"/>
      <c r="GK258" s="9"/>
    </row>
    <row r="259" spans="1:193" s="2" customFormat="1" ht="16.95" customHeight="1">
      <c r="A259" s="14" t="s">
        <v>256</v>
      </c>
      <c r="B259" s="38">
        <v>0</v>
      </c>
      <c r="C259" s="38">
        <v>0</v>
      </c>
      <c r="D259" s="4">
        <f t="shared" si="68"/>
        <v>0</v>
      </c>
      <c r="E259" s="11">
        <v>0</v>
      </c>
      <c r="F259" s="5" t="s">
        <v>371</v>
      </c>
      <c r="G259" s="5" t="s">
        <v>371</v>
      </c>
      <c r="H259" s="5" t="s">
        <v>371</v>
      </c>
      <c r="I259" s="5" t="s">
        <v>371</v>
      </c>
      <c r="J259" s="5" t="s">
        <v>371</v>
      </c>
      <c r="K259" s="5" t="s">
        <v>371</v>
      </c>
      <c r="L259" s="5" t="s">
        <v>371</v>
      </c>
      <c r="M259" s="5" t="s">
        <v>371</v>
      </c>
      <c r="N259" s="38">
        <v>147.1</v>
      </c>
      <c r="O259" s="38">
        <v>184.9</v>
      </c>
      <c r="P259" s="4">
        <f t="shared" si="69"/>
        <v>1.2569680489462951</v>
      </c>
      <c r="Q259" s="11">
        <v>20</v>
      </c>
      <c r="R259" s="11">
        <v>1</v>
      </c>
      <c r="S259" s="11">
        <v>15</v>
      </c>
      <c r="T259" s="38">
        <v>2</v>
      </c>
      <c r="U259" s="38">
        <v>3.1</v>
      </c>
      <c r="V259" s="4">
        <f t="shared" si="70"/>
        <v>1.55</v>
      </c>
      <c r="W259" s="11">
        <v>25</v>
      </c>
      <c r="X259" s="38">
        <v>0.5</v>
      </c>
      <c r="Y259" s="38">
        <v>1</v>
      </c>
      <c r="Z259" s="4">
        <f t="shared" si="71"/>
        <v>2</v>
      </c>
      <c r="AA259" s="11">
        <v>25</v>
      </c>
      <c r="AB259" s="50">
        <f t="shared" si="76"/>
        <v>1.5163454232814813</v>
      </c>
      <c r="AC259" s="50">
        <f t="shared" si="77"/>
        <v>1.2316345423281481</v>
      </c>
      <c r="AD259" s="51">
        <v>2005</v>
      </c>
      <c r="AE259" s="38">
        <f t="shared" si="72"/>
        <v>182.27272727272728</v>
      </c>
      <c r="AF259" s="38">
        <f t="shared" si="73"/>
        <v>224.5</v>
      </c>
      <c r="AG259" s="38">
        <f t="shared" si="67"/>
        <v>42.22727272727272</v>
      </c>
      <c r="AH259" s="38">
        <v>-1.7</v>
      </c>
      <c r="AI259" s="38">
        <f t="shared" si="74"/>
        <v>222.8</v>
      </c>
      <c r="AJ259" s="38"/>
      <c r="AK259" s="38">
        <f t="shared" si="75"/>
        <v>222.8</v>
      </c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10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10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10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10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10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10"/>
      <c r="GJ259" s="9"/>
      <c r="GK259" s="9"/>
    </row>
    <row r="260" spans="1:193" s="2" customFormat="1" ht="16.95" customHeight="1">
      <c r="A260" s="14" t="s">
        <v>257</v>
      </c>
      <c r="B260" s="38">
        <v>1451</v>
      </c>
      <c r="C260" s="38">
        <v>1215.8</v>
      </c>
      <c r="D260" s="4">
        <f t="shared" si="68"/>
        <v>0.83790489317711925</v>
      </c>
      <c r="E260" s="11">
        <v>10</v>
      </c>
      <c r="F260" s="5" t="s">
        <v>371</v>
      </c>
      <c r="G260" s="5" t="s">
        <v>371</v>
      </c>
      <c r="H260" s="5" t="s">
        <v>371</v>
      </c>
      <c r="I260" s="5" t="s">
        <v>371</v>
      </c>
      <c r="J260" s="5" t="s">
        <v>371</v>
      </c>
      <c r="K260" s="5" t="s">
        <v>371</v>
      </c>
      <c r="L260" s="5" t="s">
        <v>371</v>
      </c>
      <c r="M260" s="5" t="s">
        <v>371</v>
      </c>
      <c r="N260" s="38">
        <v>269.89999999999998</v>
      </c>
      <c r="O260" s="38">
        <v>321.39999999999998</v>
      </c>
      <c r="P260" s="4">
        <f t="shared" si="69"/>
        <v>1.1908114116339386</v>
      </c>
      <c r="Q260" s="11">
        <v>20</v>
      </c>
      <c r="R260" s="11">
        <v>1</v>
      </c>
      <c r="S260" s="11">
        <v>15</v>
      </c>
      <c r="T260" s="38">
        <v>218</v>
      </c>
      <c r="U260" s="38">
        <v>240.1</v>
      </c>
      <c r="V260" s="4">
        <f t="shared" si="70"/>
        <v>1.1013761467889909</v>
      </c>
      <c r="W260" s="11">
        <v>30</v>
      </c>
      <c r="X260" s="38">
        <v>7.7</v>
      </c>
      <c r="Y260" s="38">
        <v>7.9</v>
      </c>
      <c r="Z260" s="4">
        <f t="shared" si="71"/>
        <v>1.025974025974026</v>
      </c>
      <c r="AA260" s="11">
        <v>20</v>
      </c>
      <c r="AB260" s="50">
        <f t="shared" si="76"/>
        <v>1.0605899167115813</v>
      </c>
      <c r="AC260" s="50">
        <f t="shared" si="77"/>
        <v>1.0605899167115813</v>
      </c>
      <c r="AD260" s="51">
        <v>75</v>
      </c>
      <c r="AE260" s="38">
        <f t="shared" si="72"/>
        <v>6.8181818181818183</v>
      </c>
      <c r="AF260" s="38">
        <f t="shared" si="73"/>
        <v>7.2</v>
      </c>
      <c r="AG260" s="38">
        <f t="shared" si="67"/>
        <v>0.38181818181818183</v>
      </c>
      <c r="AH260" s="38">
        <v>0.9</v>
      </c>
      <c r="AI260" s="38">
        <f t="shared" si="74"/>
        <v>8.1</v>
      </c>
      <c r="AJ260" s="38"/>
      <c r="AK260" s="38">
        <f t="shared" si="75"/>
        <v>8.1</v>
      </c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10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10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10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10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10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10"/>
      <c r="GJ260" s="9"/>
      <c r="GK260" s="9"/>
    </row>
    <row r="261" spans="1:193" s="2" customFormat="1" ht="16.95" customHeight="1">
      <c r="A261" s="19" t="s">
        <v>258</v>
      </c>
      <c r="B261" s="72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10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10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10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10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10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10"/>
      <c r="GJ261" s="9"/>
      <c r="GK261" s="9"/>
    </row>
    <row r="262" spans="1:193" s="2" customFormat="1" ht="16.95" customHeight="1">
      <c r="A262" s="14" t="s">
        <v>259</v>
      </c>
      <c r="B262" s="38">
        <v>0</v>
      </c>
      <c r="C262" s="38">
        <v>0</v>
      </c>
      <c r="D262" s="4">
        <f t="shared" si="68"/>
        <v>0</v>
      </c>
      <c r="E262" s="11">
        <v>0</v>
      </c>
      <c r="F262" s="5" t="s">
        <v>371</v>
      </c>
      <c r="G262" s="5" t="s">
        <v>371</v>
      </c>
      <c r="H262" s="5" t="s">
        <v>371</v>
      </c>
      <c r="I262" s="5" t="s">
        <v>371</v>
      </c>
      <c r="J262" s="5" t="s">
        <v>371</v>
      </c>
      <c r="K262" s="5" t="s">
        <v>371</v>
      </c>
      <c r="L262" s="5" t="s">
        <v>371</v>
      </c>
      <c r="M262" s="5" t="s">
        <v>371</v>
      </c>
      <c r="N262" s="38">
        <v>110.1</v>
      </c>
      <c r="O262" s="38">
        <v>175.7</v>
      </c>
      <c r="P262" s="4">
        <f t="shared" si="69"/>
        <v>1.5958219800181652</v>
      </c>
      <c r="Q262" s="11">
        <v>20</v>
      </c>
      <c r="R262" s="11">
        <v>1</v>
      </c>
      <c r="S262" s="11">
        <v>15</v>
      </c>
      <c r="T262" s="38">
        <v>11</v>
      </c>
      <c r="U262" s="38">
        <v>17.5</v>
      </c>
      <c r="V262" s="4">
        <f t="shared" si="70"/>
        <v>1.5909090909090908</v>
      </c>
      <c r="W262" s="11">
        <v>25</v>
      </c>
      <c r="X262" s="38">
        <v>1.5</v>
      </c>
      <c r="Y262" s="38">
        <v>1.5</v>
      </c>
      <c r="Z262" s="4">
        <f t="shared" si="71"/>
        <v>1</v>
      </c>
      <c r="AA262" s="11">
        <v>25</v>
      </c>
      <c r="AB262" s="50">
        <f t="shared" si="76"/>
        <v>1.313990198506948</v>
      </c>
      <c r="AC262" s="50">
        <f t="shared" si="77"/>
        <v>1.2113990198506948</v>
      </c>
      <c r="AD262" s="51">
        <v>2339</v>
      </c>
      <c r="AE262" s="38">
        <f t="shared" si="72"/>
        <v>212.63636363636363</v>
      </c>
      <c r="AF262" s="38">
        <f t="shared" si="73"/>
        <v>257.60000000000002</v>
      </c>
      <c r="AG262" s="38">
        <f t="shared" si="67"/>
        <v>44.963636363636397</v>
      </c>
      <c r="AH262" s="38">
        <v>9.6999999999999993</v>
      </c>
      <c r="AI262" s="38">
        <f t="shared" si="74"/>
        <v>267.3</v>
      </c>
      <c r="AJ262" s="38"/>
      <c r="AK262" s="38">
        <f t="shared" si="75"/>
        <v>267.3</v>
      </c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10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10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10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10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10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10"/>
      <c r="GJ262" s="9"/>
      <c r="GK262" s="9"/>
    </row>
    <row r="263" spans="1:193" s="2" customFormat="1" ht="16.95" customHeight="1">
      <c r="A263" s="14" t="s">
        <v>260</v>
      </c>
      <c r="B263" s="38">
        <v>0</v>
      </c>
      <c r="C263" s="38">
        <v>0</v>
      </c>
      <c r="D263" s="4">
        <f t="shared" si="68"/>
        <v>0</v>
      </c>
      <c r="E263" s="11">
        <v>0</v>
      </c>
      <c r="F263" s="5" t="s">
        <v>371</v>
      </c>
      <c r="G263" s="5" t="s">
        <v>371</v>
      </c>
      <c r="H263" s="5" t="s">
        <v>371</v>
      </c>
      <c r="I263" s="5" t="s">
        <v>371</v>
      </c>
      <c r="J263" s="5" t="s">
        <v>371</v>
      </c>
      <c r="K263" s="5" t="s">
        <v>371</v>
      </c>
      <c r="L263" s="5" t="s">
        <v>371</v>
      </c>
      <c r="M263" s="5" t="s">
        <v>371</v>
      </c>
      <c r="N263" s="38">
        <v>56.6</v>
      </c>
      <c r="O263" s="38">
        <v>22.4</v>
      </c>
      <c r="P263" s="4">
        <f t="shared" si="69"/>
        <v>0.39575971731448761</v>
      </c>
      <c r="Q263" s="11">
        <v>20</v>
      </c>
      <c r="R263" s="11">
        <v>1</v>
      </c>
      <c r="S263" s="11">
        <v>15</v>
      </c>
      <c r="T263" s="38">
        <v>2</v>
      </c>
      <c r="U263" s="38">
        <v>2.2000000000000002</v>
      </c>
      <c r="V263" s="4">
        <f t="shared" si="70"/>
        <v>1.1000000000000001</v>
      </c>
      <c r="W263" s="11">
        <v>15</v>
      </c>
      <c r="X263" s="38">
        <v>0.5</v>
      </c>
      <c r="Y263" s="38">
        <v>0.5</v>
      </c>
      <c r="Z263" s="4">
        <f t="shared" si="71"/>
        <v>1</v>
      </c>
      <c r="AA263" s="11">
        <v>35</v>
      </c>
      <c r="AB263" s="50">
        <f t="shared" si="76"/>
        <v>0.87547287466223234</v>
      </c>
      <c r="AC263" s="50">
        <f t="shared" si="77"/>
        <v>0.87547287466223234</v>
      </c>
      <c r="AD263" s="51">
        <v>839</v>
      </c>
      <c r="AE263" s="38">
        <f t="shared" si="72"/>
        <v>76.272727272727266</v>
      </c>
      <c r="AF263" s="38">
        <f t="shared" si="73"/>
        <v>66.8</v>
      </c>
      <c r="AG263" s="38">
        <f t="shared" si="67"/>
        <v>-9.4727272727272691</v>
      </c>
      <c r="AH263" s="38">
        <v>25.5</v>
      </c>
      <c r="AI263" s="38">
        <f t="shared" si="74"/>
        <v>92.3</v>
      </c>
      <c r="AJ263" s="38"/>
      <c r="AK263" s="38">
        <f t="shared" si="75"/>
        <v>92.3</v>
      </c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10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10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10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10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10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10"/>
      <c r="GJ263" s="9"/>
      <c r="GK263" s="9"/>
    </row>
    <row r="264" spans="1:193" s="2" customFormat="1" ht="16.95" customHeight="1">
      <c r="A264" s="14" t="s">
        <v>261</v>
      </c>
      <c r="B264" s="38">
        <v>0</v>
      </c>
      <c r="C264" s="38">
        <v>0</v>
      </c>
      <c r="D264" s="4">
        <f t="shared" si="68"/>
        <v>0</v>
      </c>
      <c r="E264" s="11">
        <v>0</v>
      </c>
      <c r="F264" s="5" t="s">
        <v>371</v>
      </c>
      <c r="G264" s="5" t="s">
        <v>371</v>
      </c>
      <c r="H264" s="5" t="s">
        <v>371</v>
      </c>
      <c r="I264" s="5" t="s">
        <v>371</v>
      </c>
      <c r="J264" s="5" t="s">
        <v>371</v>
      </c>
      <c r="K264" s="5" t="s">
        <v>371</v>
      </c>
      <c r="L264" s="5" t="s">
        <v>371</v>
      </c>
      <c r="M264" s="5" t="s">
        <v>371</v>
      </c>
      <c r="N264" s="38">
        <v>137.5</v>
      </c>
      <c r="O264" s="38">
        <v>76.099999999999994</v>
      </c>
      <c r="P264" s="4">
        <f t="shared" si="69"/>
        <v>0.55345454545454542</v>
      </c>
      <c r="Q264" s="11">
        <v>20</v>
      </c>
      <c r="R264" s="11">
        <v>1</v>
      </c>
      <c r="S264" s="11">
        <v>15</v>
      </c>
      <c r="T264" s="38">
        <v>10</v>
      </c>
      <c r="U264" s="38">
        <v>10.1</v>
      </c>
      <c r="V264" s="4">
        <f t="shared" si="70"/>
        <v>1.01</v>
      </c>
      <c r="W264" s="11">
        <v>25</v>
      </c>
      <c r="X264" s="38">
        <v>3.5</v>
      </c>
      <c r="Y264" s="38">
        <v>3.6</v>
      </c>
      <c r="Z264" s="4">
        <f t="shared" si="71"/>
        <v>1.0285714285714287</v>
      </c>
      <c r="AA264" s="11">
        <v>25</v>
      </c>
      <c r="AB264" s="50">
        <f t="shared" si="76"/>
        <v>0.90627501909854857</v>
      </c>
      <c r="AC264" s="50">
        <f t="shared" si="77"/>
        <v>0.90627501909854857</v>
      </c>
      <c r="AD264" s="51">
        <v>3344</v>
      </c>
      <c r="AE264" s="38">
        <f t="shared" si="72"/>
        <v>304</v>
      </c>
      <c r="AF264" s="38">
        <f t="shared" si="73"/>
        <v>275.5</v>
      </c>
      <c r="AG264" s="38">
        <f t="shared" si="67"/>
        <v>-28.5</v>
      </c>
      <c r="AH264" s="38">
        <v>-2</v>
      </c>
      <c r="AI264" s="38">
        <f t="shared" si="74"/>
        <v>273.5</v>
      </c>
      <c r="AJ264" s="38"/>
      <c r="AK264" s="38">
        <f t="shared" si="75"/>
        <v>273.5</v>
      </c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10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10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10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10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10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10"/>
      <c r="GJ264" s="9"/>
      <c r="GK264" s="9"/>
    </row>
    <row r="265" spans="1:193" s="2" customFormat="1" ht="16.95" customHeight="1">
      <c r="A265" s="14" t="s">
        <v>262</v>
      </c>
      <c r="B265" s="38">
        <v>3458</v>
      </c>
      <c r="C265" s="38">
        <v>3396.7</v>
      </c>
      <c r="D265" s="4">
        <f t="shared" si="68"/>
        <v>0.98227299016772696</v>
      </c>
      <c r="E265" s="11">
        <v>10</v>
      </c>
      <c r="F265" s="5" t="s">
        <v>371</v>
      </c>
      <c r="G265" s="5" t="s">
        <v>371</v>
      </c>
      <c r="H265" s="5" t="s">
        <v>371</v>
      </c>
      <c r="I265" s="5" t="s">
        <v>371</v>
      </c>
      <c r="J265" s="5" t="s">
        <v>371</v>
      </c>
      <c r="K265" s="5" t="s">
        <v>371</v>
      </c>
      <c r="L265" s="5" t="s">
        <v>371</v>
      </c>
      <c r="M265" s="5" t="s">
        <v>371</v>
      </c>
      <c r="N265" s="38">
        <v>273.3</v>
      </c>
      <c r="O265" s="38">
        <v>447.2</v>
      </c>
      <c r="P265" s="4">
        <f t="shared" si="69"/>
        <v>1.6362971094035856</v>
      </c>
      <c r="Q265" s="11">
        <v>20</v>
      </c>
      <c r="R265" s="11">
        <v>1</v>
      </c>
      <c r="S265" s="11">
        <v>15</v>
      </c>
      <c r="T265" s="38">
        <v>166</v>
      </c>
      <c r="U265" s="38">
        <v>169.2</v>
      </c>
      <c r="V265" s="4">
        <f t="shared" si="70"/>
        <v>1.0192771084337349</v>
      </c>
      <c r="W265" s="11">
        <v>10</v>
      </c>
      <c r="X265" s="38">
        <v>12</v>
      </c>
      <c r="Y265" s="38">
        <v>13.9</v>
      </c>
      <c r="Z265" s="4">
        <f t="shared" si="71"/>
        <v>1.1583333333333334</v>
      </c>
      <c r="AA265" s="11">
        <v>40</v>
      </c>
      <c r="AB265" s="50">
        <f t="shared" si="76"/>
        <v>1.2007871211307333</v>
      </c>
      <c r="AC265" s="50">
        <f t="shared" si="77"/>
        <v>1.2000787121130734</v>
      </c>
      <c r="AD265" s="51">
        <v>5863</v>
      </c>
      <c r="AE265" s="38">
        <f t="shared" si="72"/>
        <v>533</v>
      </c>
      <c r="AF265" s="38">
        <f t="shared" si="73"/>
        <v>639.6</v>
      </c>
      <c r="AG265" s="38">
        <f t="shared" si="67"/>
        <v>106.60000000000002</v>
      </c>
      <c r="AH265" s="38">
        <v>9</v>
      </c>
      <c r="AI265" s="38">
        <f t="shared" si="74"/>
        <v>648.6</v>
      </c>
      <c r="AJ265" s="38"/>
      <c r="AK265" s="38">
        <f t="shared" si="75"/>
        <v>648.6</v>
      </c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10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10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10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10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10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10"/>
      <c r="GJ265" s="9"/>
      <c r="GK265" s="9"/>
    </row>
    <row r="266" spans="1:193" s="2" customFormat="1" ht="16.95" customHeight="1">
      <c r="A266" s="14" t="s">
        <v>263</v>
      </c>
      <c r="B266" s="38">
        <v>1300</v>
      </c>
      <c r="C266" s="38">
        <v>1653</v>
      </c>
      <c r="D266" s="4">
        <f t="shared" si="68"/>
        <v>1.2715384615384615</v>
      </c>
      <c r="E266" s="11">
        <v>10</v>
      </c>
      <c r="F266" s="5" t="s">
        <v>371</v>
      </c>
      <c r="G266" s="5" t="s">
        <v>371</v>
      </c>
      <c r="H266" s="5" t="s">
        <v>371</v>
      </c>
      <c r="I266" s="5" t="s">
        <v>371</v>
      </c>
      <c r="J266" s="5" t="s">
        <v>371</v>
      </c>
      <c r="K266" s="5" t="s">
        <v>371</v>
      </c>
      <c r="L266" s="5" t="s">
        <v>371</v>
      </c>
      <c r="M266" s="5" t="s">
        <v>371</v>
      </c>
      <c r="N266" s="38">
        <v>585.70000000000005</v>
      </c>
      <c r="O266" s="38">
        <v>232.1</v>
      </c>
      <c r="P266" s="4">
        <f t="shared" si="69"/>
        <v>0.39627795799897553</v>
      </c>
      <c r="Q266" s="11">
        <v>20</v>
      </c>
      <c r="R266" s="11">
        <v>1</v>
      </c>
      <c r="S266" s="11">
        <v>15</v>
      </c>
      <c r="T266" s="38">
        <v>43</v>
      </c>
      <c r="U266" s="38">
        <v>63.4</v>
      </c>
      <c r="V266" s="4">
        <f t="shared" si="70"/>
        <v>1.4744186046511627</v>
      </c>
      <c r="W266" s="11">
        <v>10</v>
      </c>
      <c r="X266" s="38">
        <v>12</v>
      </c>
      <c r="Y266" s="38">
        <v>15.1</v>
      </c>
      <c r="Z266" s="4">
        <f t="shared" si="71"/>
        <v>1.2583333333333333</v>
      </c>
      <c r="AA266" s="11">
        <v>40</v>
      </c>
      <c r="AB266" s="50">
        <f t="shared" si="76"/>
        <v>1.0601943490022008</v>
      </c>
      <c r="AC266" s="50">
        <f t="shared" si="77"/>
        <v>1.0601943490022008</v>
      </c>
      <c r="AD266" s="51">
        <v>4426</v>
      </c>
      <c r="AE266" s="38">
        <f t="shared" si="72"/>
        <v>402.36363636363637</v>
      </c>
      <c r="AF266" s="38">
        <f t="shared" si="73"/>
        <v>426.6</v>
      </c>
      <c r="AG266" s="38">
        <f t="shared" si="67"/>
        <v>24.236363636363649</v>
      </c>
      <c r="AH266" s="38">
        <v>-31.9</v>
      </c>
      <c r="AI266" s="38">
        <f t="shared" si="74"/>
        <v>394.70000000000005</v>
      </c>
      <c r="AJ266" s="38"/>
      <c r="AK266" s="38">
        <f t="shared" si="75"/>
        <v>394.7</v>
      </c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10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10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10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10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10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10"/>
      <c r="GJ266" s="9"/>
      <c r="GK266" s="9"/>
    </row>
    <row r="267" spans="1:193" s="2" customFormat="1" ht="16.95" customHeight="1">
      <c r="A267" s="14" t="s">
        <v>264</v>
      </c>
      <c r="B267" s="38">
        <v>3000</v>
      </c>
      <c r="C267" s="38">
        <v>2709.3</v>
      </c>
      <c r="D267" s="4">
        <f t="shared" si="68"/>
        <v>0.90310000000000001</v>
      </c>
      <c r="E267" s="11">
        <v>10</v>
      </c>
      <c r="F267" s="5" t="s">
        <v>371</v>
      </c>
      <c r="G267" s="5" t="s">
        <v>371</v>
      </c>
      <c r="H267" s="5" t="s">
        <v>371</v>
      </c>
      <c r="I267" s="5" t="s">
        <v>371</v>
      </c>
      <c r="J267" s="5" t="s">
        <v>371</v>
      </c>
      <c r="K267" s="5" t="s">
        <v>371</v>
      </c>
      <c r="L267" s="5" t="s">
        <v>371</v>
      </c>
      <c r="M267" s="5" t="s">
        <v>371</v>
      </c>
      <c r="N267" s="38">
        <v>771</v>
      </c>
      <c r="O267" s="38">
        <v>1112</v>
      </c>
      <c r="P267" s="4">
        <f t="shared" si="69"/>
        <v>1.4422827496757458</v>
      </c>
      <c r="Q267" s="11">
        <v>20</v>
      </c>
      <c r="R267" s="11">
        <v>1</v>
      </c>
      <c r="S267" s="11">
        <v>15</v>
      </c>
      <c r="T267" s="38">
        <v>11</v>
      </c>
      <c r="U267" s="38">
        <v>11.8</v>
      </c>
      <c r="V267" s="4">
        <f t="shared" si="70"/>
        <v>1.0727272727272728</v>
      </c>
      <c r="W267" s="11">
        <v>25</v>
      </c>
      <c r="X267" s="38">
        <v>12</v>
      </c>
      <c r="Y267" s="38">
        <v>12.6</v>
      </c>
      <c r="Z267" s="4">
        <f t="shared" si="71"/>
        <v>1.05</v>
      </c>
      <c r="AA267" s="11">
        <v>25</v>
      </c>
      <c r="AB267" s="50">
        <f t="shared" si="76"/>
        <v>1.1152088085441763</v>
      </c>
      <c r="AC267" s="50">
        <f t="shared" si="77"/>
        <v>1.1152088085441763</v>
      </c>
      <c r="AD267" s="51">
        <v>5844</v>
      </c>
      <c r="AE267" s="38">
        <f t="shared" si="72"/>
        <v>531.27272727272725</v>
      </c>
      <c r="AF267" s="38">
        <f t="shared" si="73"/>
        <v>592.5</v>
      </c>
      <c r="AG267" s="38">
        <f t="shared" si="67"/>
        <v>61.227272727272748</v>
      </c>
      <c r="AH267" s="38">
        <v>7</v>
      </c>
      <c r="AI267" s="38">
        <f t="shared" si="74"/>
        <v>599.5</v>
      </c>
      <c r="AJ267" s="38"/>
      <c r="AK267" s="38">
        <f t="shared" si="75"/>
        <v>599.5</v>
      </c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10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10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10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10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10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10"/>
      <c r="GJ267" s="9"/>
      <c r="GK267" s="9"/>
    </row>
    <row r="268" spans="1:193" s="2" customFormat="1" ht="16.95" customHeight="1">
      <c r="A268" s="14" t="s">
        <v>265</v>
      </c>
      <c r="B268" s="38">
        <v>5000</v>
      </c>
      <c r="C268" s="38">
        <v>5213</v>
      </c>
      <c r="D268" s="4">
        <f t="shared" si="68"/>
        <v>1.0426</v>
      </c>
      <c r="E268" s="11">
        <v>10</v>
      </c>
      <c r="F268" s="5" t="s">
        <v>371</v>
      </c>
      <c r="G268" s="5" t="s">
        <v>371</v>
      </c>
      <c r="H268" s="5" t="s">
        <v>371</v>
      </c>
      <c r="I268" s="5" t="s">
        <v>371</v>
      </c>
      <c r="J268" s="5" t="s">
        <v>371</v>
      </c>
      <c r="K268" s="5" t="s">
        <v>371</v>
      </c>
      <c r="L268" s="5" t="s">
        <v>371</v>
      </c>
      <c r="M268" s="5" t="s">
        <v>371</v>
      </c>
      <c r="N268" s="38">
        <v>497.5</v>
      </c>
      <c r="O268" s="38">
        <v>712</v>
      </c>
      <c r="P268" s="4">
        <f t="shared" si="69"/>
        <v>1.4311557788944724</v>
      </c>
      <c r="Q268" s="11">
        <v>20</v>
      </c>
      <c r="R268" s="11">
        <v>1</v>
      </c>
      <c r="S268" s="11">
        <v>15</v>
      </c>
      <c r="T268" s="38">
        <v>4</v>
      </c>
      <c r="U268" s="38">
        <v>4</v>
      </c>
      <c r="V268" s="4">
        <f t="shared" si="70"/>
        <v>1</v>
      </c>
      <c r="W268" s="11">
        <v>15</v>
      </c>
      <c r="X268" s="38">
        <v>3.5</v>
      </c>
      <c r="Y268" s="38">
        <v>3.9</v>
      </c>
      <c r="Z268" s="4">
        <f t="shared" si="71"/>
        <v>1.1142857142857143</v>
      </c>
      <c r="AA268" s="11">
        <v>35</v>
      </c>
      <c r="AB268" s="50">
        <f t="shared" si="76"/>
        <v>1.1373591113462047</v>
      </c>
      <c r="AC268" s="50">
        <f t="shared" si="77"/>
        <v>1.1373591113462047</v>
      </c>
      <c r="AD268" s="51">
        <v>894</v>
      </c>
      <c r="AE268" s="38">
        <f t="shared" si="72"/>
        <v>81.272727272727266</v>
      </c>
      <c r="AF268" s="38">
        <f t="shared" si="73"/>
        <v>92.4</v>
      </c>
      <c r="AG268" s="38">
        <f t="shared" si="67"/>
        <v>11.127272727272739</v>
      </c>
      <c r="AH268" s="38">
        <v>7.1</v>
      </c>
      <c r="AI268" s="38">
        <f t="shared" si="74"/>
        <v>99.5</v>
      </c>
      <c r="AJ268" s="38"/>
      <c r="AK268" s="38">
        <f t="shared" si="75"/>
        <v>99.5</v>
      </c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10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10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10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10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10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10"/>
      <c r="GJ268" s="9"/>
      <c r="GK268" s="9"/>
    </row>
    <row r="269" spans="1:193" s="2" customFormat="1" ht="16.95" customHeight="1">
      <c r="A269" s="19" t="s">
        <v>266</v>
      </c>
      <c r="B269" s="72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10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10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10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10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10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10"/>
      <c r="GJ269" s="9"/>
      <c r="GK269" s="9"/>
    </row>
    <row r="270" spans="1:193" s="2" customFormat="1" ht="16.95" customHeight="1">
      <c r="A270" s="14" t="s">
        <v>267</v>
      </c>
      <c r="B270" s="38">
        <v>0</v>
      </c>
      <c r="C270" s="38">
        <v>0</v>
      </c>
      <c r="D270" s="4">
        <f t="shared" si="68"/>
        <v>0</v>
      </c>
      <c r="E270" s="11">
        <v>0</v>
      </c>
      <c r="F270" s="5" t="s">
        <v>371</v>
      </c>
      <c r="G270" s="5" t="s">
        <v>371</v>
      </c>
      <c r="H270" s="5" t="s">
        <v>371</v>
      </c>
      <c r="I270" s="5" t="s">
        <v>371</v>
      </c>
      <c r="J270" s="5" t="s">
        <v>371</v>
      </c>
      <c r="K270" s="5" t="s">
        <v>371</v>
      </c>
      <c r="L270" s="5" t="s">
        <v>371</v>
      </c>
      <c r="M270" s="5" t="s">
        <v>371</v>
      </c>
      <c r="N270" s="38">
        <v>50.6</v>
      </c>
      <c r="O270" s="38">
        <v>46.1</v>
      </c>
      <c r="P270" s="4">
        <f t="shared" si="69"/>
        <v>0.91106719367588929</v>
      </c>
      <c r="Q270" s="11">
        <v>20</v>
      </c>
      <c r="R270" s="11">
        <v>1</v>
      </c>
      <c r="S270" s="11">
        <v>15</v>
      </c>
      <c r="T270" s="38">
        <v>0</v>
      </c>
      <c r="U270" s="38">
        <v>0</v>
      </c>
      <c r="V270" s="4">
        <f t="shared" si="70"/>
        <v>1</v>
      </c>
      <c r="W270" s="11">
        <v>10</v>
      </c>
      <c r="X270" s="38">
        <v>0</v>
      </c>
      <c r="Y270" s="38">
        <v>0</v>
      </c>
      <c r="Z270" s="4">
        <f t="shared" si="71"/>
        <v>1</v>
      </c>
      <c r="AA270" s="11">
        <v>40</v>
      </c>
      <c r="AB270" s="50">
        <f t="shared" si="76"/>
        <v>0.9790746338060915</v>
      </c>
      <c r="AC270" s="50">
        <f t="shared" si="77"/>
        <v>0.9790746338060915</v>
      </c>
      <c r="AD270" s="51">
        <v>580</v>
      </c>
      <c r="AE270" s="38">
        <f t="shared" si="72"/>
        <v>52.727272727272727</v>
      </c>
      <c r="AF270" s="38">
        <f t="shared" si="73"/>
        <v>51.6</v>
      </c>
      <c r="AG270" s="38">
        <f t="shared" si="67"/>
        <v>-1.1272727272727252</v>
      </c>
      <c r="AH270" s="38">
        <v>7.3</v>
      </c>
      <c r="AI270" s="38">
        <f t="shared" si="74"/>
        <v>58.9</v>
      </c>
      <c r="AJ270" s="38"/>
      <c r="AK270" s="38">
        <f t="shared" si="75"/>
        <v>58.9</v>
      </c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10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10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10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10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10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10"/>
      <c r="GJ270" s="9"/>
      <c r="GK270" s="9"/>
    </row>
    <row r="271" spans="1:193" s="2" customFormat="1" ht="16.95" customHeight="1">
      <c r="A271" s="14" t="s">
        <v>268</v>
      </c>
      <c r="B271" s="38">
        <v>0</v>
      </c>
      <c r="C271" s="38">
        <v>0</v>
      </c>
      <c r="D271" s="4">
        <f t="shared" si="68"/>
        <v>0</v>
      </c>
      <c r="E271" s="11">
        <v>0</v>
      </c>
      <c r="F271" s="5" t="s">
        <v>371</v>
      </c>
      <c r="G271" s="5" t="s">
        <v>371</v>
      </c>
      <c r="H271" s="5" t="s">
        <v>371</v>
      </c>
      <c r="I271" s="5" t="s">
        <v>371</v>
      </c>
      <c r="J271" s="5" t="s">
        <v>371</v>
      </c>
      <c r="K271" s="5" t="s">
        <v>371</v>
      </c>
      <c r="L271" s="5" t="s">
        <v>371</v>
      </c>
      <c r="M271" s="5" t="s">
        <v>371</v>
      </c>
      <c r="N271" s="38">
        <v>148.5</v>
      </c>
      <c r="O271" s="38">
        <v>142.19999999999999</v>
      </c>
      <c r="P271" s="4">
        <f t="shared" si="69"/>
        <v>0.95757575757575752</v>
      </c>
      <c r="Q271" s="11">
        <v>20</v>
      </c>
      <c r="R271" s="11">
        <v>1</v>
      </c>
      <c r="S271" s="11">
        <v>15</v>
      </c>
      <c r="T271" s="38">
        <v>0</v>
      </c>
      <c r="U271" s="38">
        <v>0</v>
      </c>
      <c r="V271" s="4">
        <f t="shared" si="70"/>
        <v>1</v>
      </c>
      <c r="W271" s="11">
        <v>20</v>
      </c>
      <c r="X271" s="38">
        <v>0</v>
      </c>
      <c r="Y271" s="38">
        <v>0</v>
      </c>
      <c r="Z271" s="4">
        <f t="shared" si="71"/>
        <v>1</v>
      </c>
      <c r="AA271" s="11">
        <v>30</v>
      </c>
      <c r="AB271" s="50">
        <f t="shared" si="76"/>
        <v>0.99001782531194304</v>
      </c>
      <c r="AC271" s="50">
        <f t="shared" si="77"/>
        <v>0.99001782531194304</v>
      </c>
      <c r="AD271" s="51">
        <v>70</v>
      </c>
      <c r="AE271" s="38">
        <f t="shared" si="72"/>
        <v>6.3636363636363633</v>
      </c>
      <c r="AF271" s="38">
        <f t="shared" si="73"/>
        <v>6.3</v>
      </c>
      <c r="AG271" s="38">
        <f t="shared" si="67"/>
        <v>-6.3636363636363491E-2</v>
      </c>
      <c r="AH271" s="38">
        <v>-0.1</v>
      </c>
      <c r="AI271" s="38">
        <f t="shared" si="74"/>
        <v>6.2</v>
      </c>
      <c r="AJ271" s="38"/>
      <c r="AK271" s="38">
        <f t="shared" si="75"/>
        <v>6.2</v>
      </c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10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10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10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10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10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10"/>
      <c r="GJ271" s="9"/>
      <c r="GK271" s="9"/>
    </row>
    <row r="272" spans="1:193" s="2" customFormat="1" ht="16.95" customHeight="1">
      <c r="A272" s="14" t="s">
        <v>269</v>
      </c>
      <c r="B272" s="38">
        <v>0</v>
      </c>
      <c r="C272" s="38">
        <v>0</v>
      </c>
      <c r="D272" s="4">
        <f t="shared" si="68"/>
        <v>0</v>
      </c>
      <c r="E272" s="11">
        <v>0</v>
      </c>
      <c r="F272" s="5" t="s">
        <v>371</v>
      </c>
      <c r="G272" s="5" t="s">
        <v>371</v>
      </c>
      <c r="H272" s="5" t="s">
        <v>371</v>
      </c>
      <c r="I272" s="5" t="s">
        <v>371</v>
      </c>
      <c r="J272" s="5" t="s">
        <v>371</v>
      </c>
      <c r="K272" s="5" t="s">
        <v>371</v>
      </c>
      <c r="L272" s="5" t="s">
        <v>371</v>
      </c>
      <c r="M272" s="5" t="s">
        <v>371</v>
      </c>
      <c r="N272" s="38">
        <v>557.9</v>
      </c>
      <c r="O272" s="38">
        <v>523.9</v>
      </c>
      <c r="P272" s="4">
        <f t="shared" si="69"/>
        <v>0.93905717870586125</v>
      </c>
      <c r="Q272" s="11">
        <v>20</v>
      </c>
      <c r="R272" s="11">
        <v>1</v>
      </c>
      <c r="S272" s="11">
        <v>15</v>
      </c>
      <c r="T272" s="38">
        <v>0</v>
      </c>
      <c r="U272" s="38">
        <v>0</v>
      </c>
      <c r="V272" s="4">
        <f t="shared" si="70"/>
        <v>1</v>
      </c>
      <c r="W272" s="11">
        <v>10</v>
      </c>
      <c r="X272" s="38">
        <v>1.2</v>
      </c>
      <c r="Y272" s="38">
        <v>1.7</v>
      </c>
      <c r="Z272" s="4">
        <f t="shared" si="71"/>
        <v>1.4166666666666667</v>
      </c>
      <c r="AA272" s="11">
        <v>40</v>
      </c>
      <c r="AB272" s="50">
        <f t="shared" si="76"/>
        <v>1.1817389440092223</v>
      </c>
      <c r="AC272" s="50">
        <f t="shared" si="77"/>
        <v>1.1817389440092223</v>
      </c>
      <c r="AD272" s="51">
        <v>180</v>
      </c>
      <c r="AE272" s="38">
        <f t="shared" si="72"/>
        <v>16.363636363636363</v>
      </c>
      <c r="AF272" s="38">
        <f t="shared" si="73"/>
        <v>19.3</v>
      </c>
      <c r="AG272" s="38">
        <f t="shared" si="67"/>
        <v>2.9363636363636374</v>
      </c>
      <c r="AH272" s="38">
        <v>-0.3</v>
      </c>
      <c r="AI272" s="38">
        <f t="shared" si="74"/>
        <v>19</v>
      </c>
      <c r="AJ272" s="38"/>
      <c r="AK272" s="38">
        <f t="shared" si="75"/>
        <v>19</v>
      </c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10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10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10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10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10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10"/>
      <c r="GJ272" s="9"/>
      <c r="GK272" s="9"/>
    </row>
    <row r="273" spans="1:193" s="2" customFormat="1" ht="16.95" customHeight="1">
      <c r="A273" s="14" t="s">
        <v>270</v>
      </c>
      <c r="B273" s="38">
        <v>0</v>
      </c>
      <c r="C273" s="38">
        <v>0</v>
      </c>
      <c r="D273" s="4">
        <f t="shared" si="68"/>
        <v>0</v>
      </c>
      <c r="E273" s="11">
        <v>0</v>
      </c>
      <c r="F273" s="5" t="s">
        <v>371</v>
      </c>
      <c r="G273" s="5" t="s">
        <v>371</v>
      </c>
      <c r="H273" s="5" t="s">
        <v>371</v>
      </c>
      <c r="I273" s="5" t="s">
        <v>371</v>
      </c>
      <c r="J273" s="5" t="s">
        <v>371</v>
      </c>
      <c r="K273" s="5" t="s">
        <v>371</v>
      </c>
      <c r="L273" s="5" t="s">
        <v>371</v>
      </c>
      <c r="M273" s="5" t="s">
        <v>371</v>
      </c>
      <c r="N273" s="38">
        <v>137.5</v>
      </c>
      <c r="O273" s="38">
        <v>88.1</v>
      </c>
      <c r="P273" s="4">
        <f t="shared" si="69"/>
        <v>0.6407272727272727</v>
      </c>
      <c r="Q273" s="11">
        <v>20</v>
      </c>
      <c r="R273" s="11">
        <v>1</v>
      </c>
      <c r="S273" s="11">
        <v>15</v>
      </c>
      <c r="T273" s="38">
        <v>12</v>
      </c>
      <c r="U273" s="38">
        <v>12</v>
      </c>
      <c r="V273" s="4">
        <f t="shared" si="70"/>
        <v>1</v>
      </c>
      <c r="W273" s="11">
        <v>20</v>
      </c>
      <c r="X273" s="38">
        <v>1</v>
      </c>
      <c r="Y273" s="38">
        <v>1</v>
      </c>
      <c r="Z273" s="4">
        <f t="shared" si="71"/>
        <v>1</v>
      </c>
      <c r="AA273" s="11">
        <v>30</v>
      </c>
      <c r="AB273" s="50">
        <f t="shared" si="76"/>
        <v>0.9154652406417112</v>
      </c>
      <c r="AC273" s="50">
        <f t="shared" si="77"/>
        <v>0.9154652406417112</v>
      </c>
      <c r="AD273" s="51">
        <v>2100</v>
      </c>
      <c r="AE273" s="38">
        <f t="shared" si="72"/>
        <v>190.90909090909091</v>
      </c>
      <c r="AF273" s="38">
        <f t="shared" si="73"/>
        <v>174.8</v>
      </c>
      <c r="AG273" s="38">
        <f t="shared" si="67"/>
        <v>-16.109090909090895</v>
      </c>
      <c r="AH273" s="38">
        <v>-11.6</v>
      </c>
      <c r="AI273" s="38">
        <f t="shared" si="74"/>
        <v>163.20000000000002</v>
      </c>
      <c r="AJ273" s="38"/>
      <c r="AK273" s="38">
        <f t="shared" si="75"/>
        <v>163.19999999999999</v>
      </c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10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10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10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10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10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10"/>
      <c r="GJ273" s="9"/>
      <c r="GK273" s="9"/>
    </row>
    <row r="274" spans="1:193" s="2" customFormat="1" ht="16.95" customHeight="1">
      <c r="A274" s="14" t="s">
        <v>271</v>
      </c>
      <c r="B274" s="38">
        <v>95</v>
      </c>
      <c r="C274" s="38">
        <v>131</v>
      </c>
      <c r="D274" s="4">
        <f t="shared" si="68"/>
        <v>1.3789473684210527</v>
      </c>
      <c r="E274" s="11">
        <v>10</v>
      </c>
      <c r="F274" s="5" t="s">
        <v>371</v>
      </c>
      <c r="G274" s="5" t="s">
        <v>371</v>
      </c>
      <c r="H274" s="5" t="s">
        <v>371</v>
      </c>
      <c r="I274" s="5" t="s">
        <v>371</v>
      </c>
      <c r="J274" s="5" t="s">
        <v>371</v>
      </c>
      <c r="K274" s="5" t="s">
        <v>371</v>
      </c>
      <c r="L274" s="5" t="s">
        <v>371</v>
      </c>
      <c r="M274" s="5" t="s">
        <v>371</v>
      </c>
      <c r="N274" s="38">
        <v>366.4</v>
      </c>
      <c r="O274" s="38">
        <v>127.6</v>
      </c>
      <c r="P274" s="4">
        <f t="shared" si="69"/>
        <v>0.34825327510917031</v>
      </c>
      <c r="Q274" s="11">
        <v>20</v>
      </c>
      <c r="R274" s="11">
        <v>1</v>
      </c>
      <c r="S274" s="11">
        <v>15</v>
      </c>
      <c r="T274" s="38">
        <v>0</v>
      </c>
      <c r="U274" s="38">
        <v>0</v>
      </c>
      <c r="V274" s="4">
        <f t="shared" si="70"/>
        <v>1</v>
      </c>
      <c r="W274" s="11">
        <v>20</v>
      </c>
      <c r="X274" s="38">
        <v>0.5</v>
      </c>
      <c r="Y274" s="38">
        <v>0.9</v>
      </c>
      <c r="Z274" s="4">
        <f t="shared" si="71"/>
        <v>1.8</v>
      </c>
      <c r="AA274" s="11">
        <v>30</v>
      </c>
      <c r="AB274" s="50">
        <f t="shared" si="76"/>
        <v>1.1553109388041467</v>
      </c>
      <c r="AC274" s="50">
        <f t="shared" si="77"/>
        <v>1.1553109388041467</v>
      </c>
      <c r="AD274" s="51">
        <v>96</v>
      </c>
      <c r="AE274" s="38">
        <f t="shared" si="72"/>
        <v>8.7272727272727266</v>
      </c>
      <c r="AF274" s="38">
        <f t="shared" si="73"/>
        <v>10.1</v>
      </c>
      <c r="AG274" s="38">
        <f t="shared" si="67"/>
        <v>1.372727272727273</v>
      </c>
      <c r="AH274" s="38">
        <v>-1</v>
      </c>
      <c r="AI274" s="38">
        <f t="shared" si="74"/>
        <v>9.1</v>
      </c>
      <c r="AJ274" s="38"/>
      <c r="AK274" s="38">
        <f t="shared" si="75"/>
        <v>9.1</v>
      </c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10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10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10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10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10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10"/>
      <c r="GJ274" s="9"/>
      <c r="GK274" s="9"/>
    </row>
    <row r="275" spans="1:193" s="2" customFormat="1" ht="16.95" customHeight="1">
      <c r="A275" s="14" t="s">
        <v>272</v>
      </c>
      <c r="B275" s="38">
        <v>0</v>
      </c>
      <c r="C275" s="38">
        <v>0</v>
      </c>
      <c r="D275" s="4">
        <f t="shared" si="68"/>
        <v>0</v>
      </c>
      <c r="E275" s="11">
        <v>0</v>
      </c>
      <c r="F275" s="5" t="s">
        <v>371</v>
      </c>
      <c r="G275" s="5" t="s">
        <v>371</v>
      </c>
      <c r="H275" s="5" t="s">
        <v>371</v>
      </c>
      <c r="I275" s="5" t="s">
        <v>371</v>
      </c>
      <c r="J275" s="5" t="s">
        <v>371</v>
      </c>
      <c r="K275" s="5" t="s">
        <v>371</v>
      </c>
      <c r="L275" s="5" t="s">
        <v>371</v>
      </c>
      <c r="M275" s="5" t="s">
        <v>371</v>
      </c>
      <c r="N275" s="38">
        <v>354.7</v>
      </c>
      <c r="O275" s="38">
        <v>144.4</v>
      </c>
      <c r="P275" s="4">
        <f t="shared" si="69"/>
        <v>0.40710459543276012</v>
      </c>
      <c r="Q275" s="11">
        <v>20</v>
      </c>
      <c r="R275" s="11">
        <v>1</v>
      </c>
      <c r="S275" s="11">
        <v>15</v>
      </c>
      <c r="T275" s="38">
        <v>11</v>
      </c>
      <c r="U275" s="38">
        <v>6.8</v>
      </c>
      <c r="V275" s="4">
        <f t="shared" si="70"/>
        <v>0.61818181818181817</v>
      </c>
      <c r="W275" s="11">
        <v>15</v>
      </c>
      <c r="X275" s="38">
        <v>1.2</v>
      </c>
      <c r="Y275" s="38">
        <v>0.9</v>
      </c>
      <c r="Z275" s="4">
        <f t="shared" si="71"/>
        <v>0.75</v>
      </c>
      <c r="AA275" s="11">
        <v>35</v>
      </c>
      <c r="AB275" s="50">
        <f t="shared" si="76"/>
        <v>0.69017434331038208</v>
      </c>
      <c r="AC275" s="50">
        <f t="shared" si="77"/>
        <v>0.69017434331038208</v>
      </c>
      <c r="AD275" s="51">
        <v>1505</v>
      </c>
      <c r="AE275" s="38">
        <f t="shared" si="72"/>
        <v>136.81818181818181</v>
      </c>
      <c r="AF275" s="38">
        <f t="shared" si="73"/>
        <v>94.4</v>
      </c>
      <c r="AG275" s="38">
        <f t="shared" si="67"/>
        <v>-42.418181818181807</v>
      </c>
      <c r="AH275" s="38">
        <v>-2.8</v>
      </c>
      <c r="AI275" s="38">
        <f t="shared" si="74"/>
        <v>91.600000000000009</v>
      </c>
      <c r="AJ275" s="38"/>
      <c r="AK275" s="38">
        <f t="shared" si="75"/>
        <v>91.6</v>
      </c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10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10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10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10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10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10"/>
      <c r="GJ275" s="9"/>
      <c r="GK275" s="9"/>
    </row>
    <row r="276" spans="1:193" s="2" customFormat="1" ht="16.95" customHeight="1">
      <c r="A276" s="14" t="s">
        <v>273</v>
      </c>
      <c r="B276" s="38">
        <v>0</v>
      </c>
      <c r="C276" s="38">
        <v>0</v>
      </c>
      <c r="D276" s="4">
        <f t="shared" si="68"/>
        <v>0</v>
      </c>
      <c r="E276" s="11">
        <v>0</v>
      </c>
      <c r="F276" s="5" t="s">
        <v>371</v>
      </c>
      <c r="G276" s="5" t="s">
        <v>371</v>
      </c>
      <c r="H276" s="5" t="s">
        <v>371</v>
      </c>
      <c r="I276" s="5" t="s">
        <v>371</v>
      </c>
      <c r="J276" s="5" t="s">
        <v>371</v>
      </c>
      <c r="K276" s="5" t="s">
        <v>371</v>
      </c>
      <c r="L276" s="5" t="s">
        <v>371</v>
      </c>
      <c r="M276" s="5" t="s">
        <v>371</v>
      </c>
      <c r="N276" s="38">
        <v>173.1</v>
      </c>
      <c r="O276" s="38">
        <v>110.8</v>
      </c>
      <c r="P276" s="4">
        <f t="shared" si="69"/>
        <v>0.64009243212016176</v>
      </c>
      <c r="Q276" s="11">
        <v>20</v>
      </c>
      <c r="R276" s="11">
        <v>1</v>
      </c>
      <c r="S276" s="11">
        <v>15</v>
      </c>
      <c r="T276" s="38">
        <v>6</v>
      </c>
      <c r="U276" s="38">
        <v>7.7</v>
      </c>
      <c r="V276" s="4">
        <f t="shared" si="70"/>
        <v>1.2833333333333334</v>
      </c>
      <c r="W276" s="11">
        <v>20</v>
      </c>
      <c r="X276" s="38">
        <v>1.2</v>
      </c>
      <c r="Y276" s="38">
        <v>0.7</v>
      </c>
      <c r="Z276" s="4">
        <f t="shared" si="71"/>
        <v>0.58333333333333337</v>
      </c>
      <c r="AA276" s="11">
        <v>30</v>
      </c>
      <c r="AB276" s="50">
        <f t="shared" si="76"/>
        <v>0.83492370951846939</v>
      </c>
      <c r="AC276" s="50">
        <f t="shared" si="77"/>
        <v>0.83492370951846939</v>
      </c>
      <c r="AD276" s="51">
        <v>1522</v>
      </c>
      <c r="AE276" s="38">
        <f t="shared" si="72"/>
        <v>138.36363636363637</v>
      </c>
      <c r="AF276" s="38">
        <f t="shared" si="73"/>
        <v>115.5</v>
      </c>
      <c r="AG276" s="38">
        <f t="shared" si="67"/>
        <v>-22.863636363636374</v>
      </c>
      <c r="AH276" s="38">
        <v>-11</v>
      </c>
      <c r="AI276" s="38">
        <f t="shared" si="74"/>
        <v>104.5</v>
      </c>
      <c r="AJ276" s="38"/>
      <c r="AK276" s="38">
        <f t="shared" si="75"/>
        <v>104.5</v>
      </c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10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10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10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10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10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10"/>
      <c r="GJ276" s="9"/>
      <c r="GK276" s="9"/>
    </row>
    <row r="277" spans="1:193" s="2" customFormat="1" ht="16.95" customHeight="1">
      <c r="A277" s="14" t="s">
        <v>274</v>
      </c>
      <c r="B277" s="38">
        <v>0</v>
      </c>
      <c r="C277" s="38">
        <v>0</v>
      </c>
      <c r="D277" s="4">
        <f t="shared" si="68"/>
        <v>0</v>
      </c>
      <c r="E277" s="11">
        <v>0</v>
      </c>
      <c r="F277" s="5" t="s">
        <v>371</v>
      </c>
      <c r="G277" s="5" t="s">
        <v>371</v>
      </c>
      <c r="H277" s="5" t="s">
        <v>371</v>
      </c>
      <c r="I277" s="5" t="s">
        <v>371</v>
      </c>
      <c r="J277" s="5" t="s">
        <v>371</v>
      </c>
      <c r="K277" s="5" t="s">
        <v>371</v>
      </c>
      <c r="L277" s="5" t="s">
        <v>371</v>
      </c>
      <c r="M277" s="5" t="s">
        <v>371</v>
      </c>
      <c r="N277" s="38">
        <v>80</v>
      </c>
      <c r="O277" s="38">
        <v>197.2</v>
      </c>
      <c r="P277" s="4">
        <f t="shared" si="69"/>
        <v>2.4649999999999999</v>
      </c>
      <c r="Q277" s="11">
        <v>20</v>
      </c>
      <c r="R277" s="11">
        <v>1</v>
      </c>
      <c r="S277" s="11">
        <v>15</v>
      </c>
      <c r="T277" s="38">
        <v>0</v>
      </c>
      <c r="U277" s="38">
        <v>0</v>
      </c>
      <c r="V277" s="4">
        <f t="shared" si="70"/>
        <v>1</v>
      </c>
      <c r="W277" s="11">
        <v>30</v>
      </c>
      <c r="X277" s="38">
        <v>0.5</v>
      </c>
      <c r="Y277" s="38">
        <v>0.7</v>
      </c>
      <c r="Z277" s="4">
        <f t="shared" si="71"/>
        <v>1.4</v>
      </c>
      <c r="AA277" s="11">
        <v>20</v>
      </c>
      <c r="AB277" s="50">
        <f t="shared" si="76"/>
        <v>1.4388235294117646</v>
      </c>
      <c r="AC277" s="50">
        <f t="shared" si="77"/>
        <v>1.2238823529411764</v>
      </c>
      <c r="AD277" s="51">
        <v>1658</v>
      </c>
      <c r="AE277" s="38">
        <f t="shared" si="72"/>
        <v>150.72727272727272</v>
      </c>
      <c r="AF277" s="38">
        <f t="shared" si="73"/>
        <v>184.5</v>
      </c>
      <c r="AG277" s="38">
        <f t="shared" si="67"/>
        <v>33.77272727272728</v>
      </c>
      <c r="AH277" s="38">
        <v>-6.9</v>
      </c>
      <c r="AI277" s="38">
        <f t="shared" si="74"/>
        <v>177.6</v>
      </c>
      <c r="AJ277" s="38"/>
      <c r="AK277" s="38">
        <f t="shared" si="75"/>
        <v>177.6</v>
      </c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10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10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10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10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10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10"/>
      <c r="GJ277" s="9"/>
      <c r="GK277" s="9"/>
    </row>
    <row r="278" spans="1:193" s="2" customFormat="1" ht="16.95" customHeight="1">
      <c r="A278" s="14" t="s">
        <v>275</v>
      </c>
      <c r="B278" s="38">
        <v>0</v>
      </c>
      <c r="C278" s="38">
        <v>0</v>
      </c>
      <c r="D278" s="4">
        <f t="shared" si="68"/>
        <v>0</v>
      </c>
      <c r="E278" s="11">
        <v>0</v>
      </c>
      <c r="F278" s="5" t="s">
        <v>371</v>
      </c>
      <c r="G278" s="5" t="s">
        <v>371</v>
      </c>
      <c r="H278" s="5" t="s">
        <v>371</v>
      </c>
      <c r="I278" s="5" t="s">
        <v>371</v>
      </c>
      <c r="J278" s="5" t="s">
        <v>371</v>
      </c>
      <c r="K278" s="5" t="s">
        <v>371</v>
      </c>
      <c r="L278" s="5" t="s">
        <v>371</v>
      </c>
      <c r="M278" s="5" t="s">
        <v>371</v>
      </c>
      <c r="N278" s="38">
        <v>33.1</v>
      </c>
      <c r="O278" s="38">
        <v>521.5</v>
      </c>
      <c r="P278" s="4">
        <f t="shared" si="69"/>
        <v>15.755287009063444</v>
      </c>
      <c r="Q278" s="11">
        <v>20</v>
      </c>
      <c r="R278" s="11">
        <v>1</v>
      </c>
      <c r="S278" s="11">
        <v>15</v>
      </c>
      <c r="T278" s="38">
        <v>0</v>
      </c>
      <c r="U278" s="38">
        <v>0</v>
      </c>
      <c r="V278" s="4">
        <f t="shared" si="70"/>
        <v>1</v>
      </c>
      <c r="W278" s="11">
        <v>20</v>
      </c>
      <c r="X278" s="38">
        <v>0.5</v>
      </c>
      <c r="Y278" s="38">
        <v>0</v>
      </c>
      <c r="Z278" s="4">
        <f t="shared" si="71"/>
        <v>0</v>
      </c>
      <c r="AA278" s="11">
        <v>30</v>
      </c>
      <c r="AB278" s="50">
        <f t="shared" si="76"/>
        <v>4.1188910609561038</v>
      </c>
      <c r="AC278" s="50">
        <f t="shared" si="77"/>
        <v>1.3</v>
      </c>
      <c r="AD278" s="51">
        <v>1233</v>
      </c>
      <c r="AE278" s="38">
        <f t="shared" si="72"/>
        <v>112.09090909090909</v>
      </c>
      <c r="AF278" s="38">
        <f t="shared" si="73"/>
        <v>145.69999999999999</v>
      </c>
      <c r="AG278" s="38">
        <f t="shared" si="67"/>
        <v>33.609090909090895</v>
      </c>
      <c r="AH278" s="38">
        <v>-8.6</v>
      </c>
      <c r="AI278" s="38">
        <f t="shared" si="74"/>
        <v>137.1</v>
      </c>
      <c r="AJ278" s="38"/>
      <c r="AK278" s="38">
        <f t="shared" si="75"/>
        <v>137.1</v>
      </c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10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10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10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10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10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10"/>
      <c r="GJ278" s="9"/>
      <c r="GK278" s="9"/>
    </row>
    <row r="279" spans="1:193" s="2" customFormat="1" ht="16.95" customHeight="1">
      <c r="A279" s="14" t="s">
        <v>276</v>
      </c>
      <c r="B279" s="38">
        <v>0</v>
      </c>
      <c r="C279" s="38">
        <v>0</v>
      </c>
      <c r="D279" s="4">
        <f t="shared" si="68"/>
        <v>0</v>
      </c>
      <c r="E279" s="11">
        <v>0</v>
      </c>
      <c r="F279" s="5" t="s">
        <v>371</v>
      </c>
      <c r="G279" s="5" t="s">
        <v>371</v>
      </c>
      <c r="H279" s="5" t="s">
        <v>371</v>
      </c>
      <c r="I279" s="5" t="s">
        <v>371</v>
      </c>
      <c r="J279" s="5" t="s">
        <v>371</v>
      </c>
      <c r="K279" s="5" t="s">
        <v>371</v>
      </c>
      <c r="L279" s="5" t="s">
        <v>371</v>
      </c>
      <c r="M279" s="5" t="s">
        <v>371</v>
      </c>
      <c r="N279" s="38">
        <v>511.7</v>
      </c>
      <c r="O279" s="38">
        <v>121.2</v>
      </c>
      <c r="P279" s="4">
        <f t="shared" si="69"/>
        <v>0.23685753371115889</v>
      </c>
      <c r="Q279" s="11">
        <v>20</v>
      </c>
      <c r="R279" s="11">
        <v>1</v>
      </c>
      <c r="S279" s="11">
        <v>15</v>
      </c>
      <c r="T279" s="38">
        <v>10</v>
      </c>
      <c r="U279" s="38">
        <v>3.4</v>
      </c>
      <c r="V279" s="4">
        <f t="shared" si="70"/>
        <v>0.33999999999999997</v>
      </c>
      <c r="W279" s="11">
        <v>15</v>
      </c>
      <c r="X279" s="38">
        <v>0.5</v>
      </c>
      <c r="Y279" s="38">
        <v>0.5</v>
      </c>
      <c r="Z279" s="4">
        <f t="shared" si="71"/>
        <v>1</v>
      </c>
      <c r="AA279" s="11">
        <v>35</v>
      </c>
      <c r="AB279" s="50">
        <f t="shared" si="76"/>
        <v>0.70396647852027261</v>
      </c>
      <c r="AC279" s="50">
        <f t="shared" si="77"/>
        <v>0.70396647852027261</v>
      </c>
      <c r="AD279" s="51">
        <v>678</v>
      </c>
      <c r="AE279" s="38">
        <f t="shared" si="72"/>
        <v>61.636363636363633</v>
      </c>
      <c r="AF279" s="38">
        <f t="shared" si="73"/>
        <v>43.4</v>
      </c>
      <c r="AG279" s="38">
        <f t="shared" si="67"/>
        <v>-18.236363636363635</v>
      </c>
      <c r="AH279" s="38">
        <v>-5.3</v>
      </c>
      <c r="AI279" s="38">
        <f t="shared" si="74"/>
        <v>38.1</v>
      </c>
      <c r="AJ279" s="38"/>
      <c r="AK279" s="38">
        <f t="shared" si="75"/>
        <v>38.1</v>
      </c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10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10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10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10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10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10"/>
      <c r="GJ279" s="9"/>
      <c r="GK279" s="9"/>
    </row>
    <row r="280" spans="1:193" s="2" customFormat="1" ht="16.95" customHeight="1">
      <c r="A280" s="14" t="s">
        <v>277</v>
      </c>
      <c r="B280" s="38">
        <v>0</v>
      </c>
      <c r="C280" s="38">
        <v>0</v>
      </c>
      <c r="D280" s="4">
        <f t="shared" si="68"/>
        <v>0</v>
      </c>
      <c r="E280" s="11">
        <v>0</v>
      </c>
      <c r="F280" s="5" t="s">
        <v>371</v>
      </c>
      <c r="G280" s="5" t="s">
        <v>371</v>
      </c>
      <c r="H280" s="5" t="s">
        <v>371</v>
      </c>
      <c r="I280" s="5" t="s">
        <v>371</v>
      </c>
      <c r="J280" s="5" t="s">
        <v>371</v>
      </c>
      <c r="K280" s="5" t="s">
        <v>371</v>
      </c>
      <c r="L280" s="5" t="s">
        <v>371</v>
      </c>
      <c r="M280" s="5" t="s">
        <v>371</v>
      </c>
      <c r="N280" s="38">
        <v>79.7</v>
      </c>
      <c r="O280" s="38">
        <v>213.9</v>
      </c>
      <c r="P280" s="4">
        <f t="shared" si="69"/>
        <v>2.6838143036386448</v>
      </c>
      <c r="Q280" s="11">
        <v>20</v>
      </c>
      <c r="R280" s="11">
        <v>1</v>
      </c>
      <c r="S280" s="11">
        <v>15</v>
      </c>
      <c r="T280" s="38">
        <v>28</v>
      </c>
      <c r="U280" s="38">
        <v>32.799999999999997</v>
      </c>
      <c r="V280" s="4">
        <f t="shared" si="70"/>
        <v>1.1714285714285713</v>
      </c>
      <c r="W280" s="11">
        <v>25</v>
      </c>
      <c r="X280" s="38">
        <v>1</v>
      </c>
      <c r="Y280" s="38">
        <v>0.9</v>
      </c>
      <c r="Z280" s="4">
        <f t="shared" si="71"/>
        <v>0.9</v>
      </c>
      <c r="AA280" s="11">
        <v>25</v>
      </c>
      <c r="AB280" s="50">
        <f t="shared" si="76"/>
        <v>1.4172000042174961</v>
      </c>
      <c r="AC280" s="50">
        <f t="shared" si="77"/>
        <v>1.2217200004217497</v>
      </c>
      <c r="AD280" s="51">
        <v>982</v>
      </c>
      <c r="AE280" s="38">
        <f t="shared" si="72"/>
        <v>89.272727272727266</v>
      </c>
      <c r="AF280" s="38">
        <f t="shared" si="73"/>
        <v>109.1</v>
      </c>
      <c r="AG280" s="38">
        <f t="shared" si="67"/>
        <v>19.827272727272728</v>
      </c>
      <c r="AH280" s="38">
        <v>-1.4</v>
      </c>
      <c r="AI280" s="38">
        <f t="shared" si="74"/>
        <v>107.69999999999999</v>
      </c>
      <c r="AJ280" s="38"/>
      <c r="AK280" s="38">
        <f t="shared" si="75"/>
        <v>107.7</v>
      </c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10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10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10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10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10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10"/>
      <c r="GJ280" s="9"/>
      <c r="GK280" s="9"/>
    </row>
    <row r="281" spans="1:193" s="2" customFormat="1" ht="16.95" customHeight="1">
      <c r="A281" s="14" t="s">
        <v>278</v>
      </c>
      <c r="B281" s="38">
        <v>0</v>
      </c>
      <c r="C281" s="38">
        <v>0</v>
      </c>
      <c r="D281" s="4">
        <f t="shared" si="68"/>
        <v>0</v>
      </c>
      <c r="E281" s="11">
        <v>0</v>
      </c>
      <c r="F281" s="5" t="s">
        <v>371</v>
      </c>
      <c r="G281" s="5" t="s">
        <v>371</v>
      </c>
      <c r="H281" s="5" t="s">
        <v>371</v>
      </c>
      <c r="I281" s="5" t="s">
        <v>371</v>
      </c>
      <c r="J281" s="5" t="s">
        <v>371</v>
      </c>
      <c r="K281" s="5" t="s">
        <v>371</v>
      </c>
      <c r="L281" s="5" t="s">
        <v>371</v>
      </c>
      <c r="M281" s="5" t="s">
        <v>371</v>
      </c>
      <c r="N281" s="38">
        <v>243.4</v>
      </c>
      <c r="O281" s="38">
        <v>379.8</v>
      </c>
      <c r="P281" s="4">
        <f t="shared" si="69"/>
        <v>1.5603944124897289</v>
      </c>
      <c r="Q281" s="11">
        <v>20</v>
      </c>
      <c r="R281" s="11">
        <v>1</v>
      </c>
      <c r="S281" s="11">
        <v>15</v>
      </c>
      <c r="T281" s="38">
        <v>14</v>
      </c>
      <c r="U281" s="38">
        <v>6.5</v>
      </c>
      <c r="V281" s="4">
        <f t="shared" si="70"/>
        <v>0.4642857142857143</v>
      </c>
      <c r="W281" s="11">
        <v>20</v>
      </c>
      <c r="X281" s="38">
        <v>0.5</v>
      </c>
      <c r="Y281" s="38">
        <v>0.5</v>
      </c>
      <c r="Z281" s="4">
        <f t="shared" si="71"/>
        <v>1</v>
      </c>
      <c r="AA281" s="11">
        <v>30</v>
      </c>
      <c r="AB281" s="50">
        <f t="shared" si="76"/>
        <v>1.0058070886530455</v>
      </c>
      <c r="AC281" s="50">
        <f t="shared" si="77"/>
        <v>1.0058070886530455</v>
      </c>
      <c r="AD281" s="51">
        <v>445</v>
      </c>
      <c r="AE281" s="38">
        <f t="shared" si="72"/>
        <v>40.454545454545453</v>
      </c>
      <c r="AF281" s="38">
        <f t="shared" si="73"/>
        <v>40.700000000000003</v>
      </c>
      <c r="AG281" s="38">
        <f t="shared" si="67"/>
        <v>0.24545454545454959</v>
      </c>
      <c r="AH281" s="38">
        <v>-0.6</v>
      </c>
      <c r="AI281" s="38">
        <f t="shared" si="74"/>
        <v>40.1</v>
      </c>
      <c r="AJ281" s="38"/>
      <c r="AK281" s="38">
        <f t="shared" si="75"/>
        <v>40.1</v>
      </c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10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10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10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10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10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10"/>
      <c r="GJ281" s="9"/>
      <c r="GK281" s="9"/>
    </row>
    <row r="282" spans="1:193" s="2" customFormat="1" ht="16.95" customHeight="1">
      <c r="A282" s="14" t="s">
        <v>279</v>
      </c>
      <c r="B282" s="38">
        <v>4880</v>
      </c>
      <c r="C282" s="38">
        <v>4369.1000000000004</v>
      </c>
      <c r="D282" s="4">
        <f t="shared" si="68"/>
        <v>0.8953073770491804</v>
      </c>
      <c r="E282" s="11">
        <v>10</v>
      </c>
      <c r="F282" s="5" t="s">
        <v>371</v>
      </c>
      <c r="G282" s="5" t="s">
        <v>371</v>
      </c>
      <c r="H282" s="5" t="s">
        <v>371</v>
      </c>
      <c r="I282" s="5" t="s">
        <v>371</v>
      </c>
      <c r="J282" s="5" t="s">
        <v>371</v>
      </c>
      <c r="K282" s="5" t="s">
        <v>371</v>
      </c>
      <c r="L282" s="5" t="s">
        <v>371</v>
      </c>
      <c r="M282" s="5" t="s">
        <v>371</v>
      </c>
      <c r="N282" s="38">
        <v>2834.1</v>
      </c>
      <c r="O282" s="38">
        <v>2221.6</v>
      </c>
      <c r="P282" s="4">
        <f t="shared" si="69"/>
        <v>0.7838820083977277</v>
      </c>
      <c r="Q282" s="11">
        <v>20</v>
      </c>
      <c r="R282" s="11">
        <v>1</v>
      </c>
      <c r="S282" s="11">
        <v>15</v>
      </c>
      <c r="T282" s="38">
        <v>0</v>
      </c>
      <c r="U282" s="38">
        <v>0</v>
      </c>
      <c r="V282" s="4">
        <f t="shared" si="70"/>
        <v>1</v>
      </c>
      <c r="W282" s="11">
        <v>15</v>
      </c>
      <c r="X282" s="38">
        <v>0.6</v>
      </c>
      <c r="Y282" s="38">
        <v>0.6</v>
      </c>
      <c r="Z282" s="4">
        <f t="shared" si="71"/>
        <v>1</v>
      </c>
      <c r="AA282" s="11">
        <v>35</v>
      </c>
      <c r="AB282" s="50">
        <f t="shared" si="76"/>
        <v>0.94348119935206687</v>
      </c>
      <c r="AC282" s="50">
        <f t="shared" si="77"/>
        <v>0.94348119935206687</v>
      </c>
      <c r="AD282" s="51">
        <v>2093</v>
      </c>
      <c r="AE282" s="38">
        <f t="shared" si="72"/>
        <v>190.27272727272728</v>
      </c>
      <c r="AF282" s="38">
        <f t="shared" si="73"/>
        <v>179.5</v>
      </c>
      <c r="AG282" s="38">
        <f t="shared" si="67"/>
        <v>-10.77272727272728</v>
      </c>
      <c r="AH282" s="38">
        <v>-9.6</v>
      </c>
      <c r="AI282" s="38">
        <f t="shared" si="74"/>
        <v>169.9</v>
      </c>
      <c r="AJ282" s="38"/>
      <c r="AK282" s="38">
        <f t="shared" si="75"/>
        <v>169.9</v>
      </c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10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10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10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10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10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10"/>
      <c r="GJ282" s="9"/>
      <c r="GK282" s="9"/>
    </row>
    <row r="283" spans="1:193" s="2" customFormat="1" ht="16.95" customHeight="1">
      <c r="A283" s="14" t="s">
        <v>280</v>
      </c>
      <c r="B283" s="38">
        <v>1258</v>
      </c>
      <c r="C283" s="38">
        <v>6560.5</v>
      </c>
      <c r="D283" s="4">
        <f t="shared" si="68"/>
        <v>5.2150238473767887</v>
      </c>
      <c r="E283" s="11">
        <v>10</v>
      </c>
      <c r="F283" s="5" t="s">
        <v>371</v>
      </c>
      <c r="G283" s="5" t="s">
        <v>371</v>
      </c>
      <c r="H283" s="5" t="s">
        <v>371</v>
      </c>
      <c r="I283" s="5" t="s">
        <v>371</v>
      </c>
      <c r="J283" s="5" t="s">
        <v>371</v>
      </c>
      <c r="K283" s="5" t="s">
        <v>371</v>
      </c>
      <c r="L283" s="5" t="s">
        <v>371</v>
      </c>
      <c r="M283" s="5" t="s">
        <v>371</v>
      </c>
      <c r="N283" s="38">
        <v>326.3</v>
      </c>
      <c r="O283" s="38">
        <v>289</v>
      </c>
      <c r="P283" s="4">
        <f t="shared" si="69"/>
        <v>0.88568801716212076</v>
      </c>
      <c r="Q283" s="11">
        <v>20</v>
      </c>
      <c r="R283" s="11">
        <v>1</v>
      </c>
      <c r="S283" s="11">
        <v>15</v>
      </c>
      <c r="T283" s="38">
        <v>0</v>
      </c>
      <c r="U283" s="38">
        <v>0</v>
      </c>
      <c r="V283" s="4">
        <f t="shared" si="70"/>
        <v>1</v>
      </c>
      <c r="W283" s="11">
        <v>25</v>
      </c>
      <c r="X283" s="38">
        <v>0.2</v>
      </c>
      <c r="Y283" s="38">
        <v>0</v>
      </c>
      <c r="Z283" s="4">
        <f t="shared" si="71"/>
        <v>0</v>
      </c>
      <c r="AA283" s="11">
        <v>25</v>
      </c>
      <c r="AB283" s="50">
        <f t="shared" si="76"/>
        <v>1.1564631454422136</v>
      </c>
      <c r="AC283" s="50">
        <f t="shared" si="77"/>
        <v>1.1564631454422136</v>
      </c>
      <c r="AD283" s="51">
        <v>1707</v>
      </c>
      <c r="AE283" s="38">
        <f t="shared" si="72"/>
        <v>155.18181818181819</v>
      </c>
      <c r="AF283" s="38">
        <f t="shared" si="73"/>
        <v>179.5</v>
      </c>
      <c r="AG283" s="38">
        <f t="shared" si="67"/>
        <v>24.318181818181813</v>
      </c>
      <c r="AH283" s="38">
        <v>23.1</v>
      </c>
      <c r="AI283" s="38">
        <f t="shared" si="74"/>
        <v>202.6</v>
      </c>
      <c r="AJ283" s="38"/>
      <c r="AK283" s="38">
        <f t="shared" si="75"/>
        <v>202.6</v>
      </c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10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10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10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10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10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10"/>
      <c r="GJ283" s="9"/>
      <c r="GK283" s="9"/>
    </row>
    <row r="284" spans="1:193" s="2" customFormat="1" ht="16.95" customHeight="1">
      <c r="A284" s="14" t="s">
        <v>281</v>
      </c>
      <c r="B284" s="38">
        <v>39238</v>
      </c>
      <c r="C284" s="38">
        <v>50658.3</v>
      </c>
      <c r="D284" s="4">
        <f t="shared" si="68"/>
        <v>1.2910520413884501</v>
      </c>
      <c r="E284" s="11">
        <v>10</v>
      </c>
      <c r="F284" s="5" t="s">
        <v>371</v>
      </c>
      <c r="G284" s="5" t="s">
        <v>371</v>
      </c>
      <c r="H284" s="5" t="s">
        <v>371</v>
      </c>
      <c r="I284" s="5" t="s">
        <v>371</v>
      </c>
      <c r="J284" s="5" t="s">
        <v>371</v>
      </c>
      <c r="K284" s="5" t="s">
        <v>371</v>
      </c>
      <c r="L284" s="5" t="s">
        <v>371</v>
      </c>
      <c r="M284" s="5" t="s">
        <v>371</v>
      </c>
      <c r="N284" s="38">
        <v>652.79999999999995</v>
      </c>
      <c r="O284" s="38">
        <v>626</v>
      </c>
      <c r="P284" s="4">
        <f t="shared" si="69"/>
        <v>0.95894607843137258</v>
      </c>
      <c r="Q284" s="11">
        <v>20</v>
      </c>
      <c r="R284" s="11">
        <v>1</v>
      </c>
      <c r="S284" s="11">
        <v>15</v>
      </c>
      <c r="T284" s="38">
        <v>13</v>
      </c>
      <c r="U284" s="38">
        <v>13</v>
      </c>
      <c r="V284" s="4">
        <f t="shared" si="70"/>
        <v>1</v>
      </c>
      <c r="W284" s="11">
        <v>5</v>
      </c>
      <c r="X284" s="38">
        <v>1</v>
      </c>
      <c r="Y284" s="38">
        <v>1.2</v>
      </c>
      <c r="Z284" s="4">
        <f t="shared" si="71"/>
        <v>1.2</v>
      </c>
      <c r="AA284" s="11">
        <v>45</v>
      </c>
      <c r="AB284" s="50">
        <f t="shared" si="76"/>
        <v>1.1167309682369679</v>
      </c>
      <c r="AC284" s="50">
        <f t="shared" si="77"/>
        <v>1.1167309682369679</v>
      </c>
      <c r="AD284" s="51">
        <v>2796</v>
      </c>
      <c r="AE284" s="38">
        <f t="shared" si="72"/>
        <v>254.18181818181819</v>
      </c>
      <c r="AF284" s="38">
        <f t="shared" si="73"/>
        <v>283.89999999999998</v>
      </c>
      <c r="AG284" s="38">
        <f t="shared" si="67"/>
        <v>29.71818181818179</v>
      </c>
      <c r="AH284" s="38">
        <v>11.6</v>
      </c>
      <c r="AI284" s="38">
        <f t="shared" si="74"/>
        <v>295.5</v>
      </c>
      <c r="AJ284" s="38"/>
      <c r="AK284" s="38">
        <f t="shared" si="75"/>
        <v>295.5</v>
      </c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10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10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10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10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10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10"/>
      <c r="GJ284" s="9"/>
      <c r="GK284" s="9"/>
    </row>
    <row r="285" spans="1:193" s="2" customFormat="1" ht="16.95" customHeight="1">
      <c r="A285" s="14" t="s">
        <v>282</v>
      </c>
      <c r="B285" s="38">
        <v>90700</v>
      </c>
      <c r="C285" s="38">
        <v>90707.7</v>
      </c>
      <c r="D285" s="4">
        <f t="shared" si="68"/>
        <v>1.0000848952590959</v>
      </c>
      <c r="E285" s="11">
        <v>10</v>
      </c>
      <c r="F285" s="5" t="s">
        <v>371</v>
      </c>
      <c r="G285" s="5" t="s">
        <v>371</v>
      </c>
      <c r="H285" s="5" t="s">
        <v>371</v>
      </c>
      <c r="I285" s="5" t="s">
        <v>371</v>
      </c>
      <c r="J285" s="5" t="s">
        <v>371</v>
      </c>
      <c r="K285" s="5" t="s">
        <v>371</v>
      </c>
      <c r="L285" s="5" t="s">
        <v>371</v>
      </c>
      <c r="M285" s="5" t="s">
        <v>371</v>
      </c>
      <c r="N285" s="38">
        <v>3233.4</v>
      </c>
      <c r="O285" s="38">
        <v>5592.6</v>
      </c>
      <c r="P285" s="4">
        <f t="shared" si="69"/>
        <v>1.7296344405269994</v>
      </c>
      <c r="Q285" s="11">
        <v>20</v>
      </c>
      <c r="R285" s="11">
        <v>1</v>
      </c>
      <c r="S285" s="11">
        <v>15</v>
      </c>
      <c r="T285" s="38">
        <v>0</v>
      </c>
      <c r="U285" s="38">
        <v>0</v>
      </c>
      <c r="V285" s="4">
        <f t="shared" si="70"/>
        <v>1</v>
      </c>
      <c r="W285" s="11">
        <v>10</v>
      </c>
      <c r="X285" s="38">
        <v>0.1</v>
      </c>
      <c r="Y285" s="38">
        <v>0.2</v>
      </c>
      <c r="Z285" s="4">
        <f t="shared" si="71"/>
        <v>2</v>
      </c>
      <c r="AA285" s="11">
        <v>40</v>
      </c>
      <c r="AB285" s="50">
        <f t="shared" si="76"/>
        <v>1.574668818559273</v>
      </c>
      <c r="AC285" s="50">
        <f t="shared" si="77"/>
        <v>1.2374668818559273</v>
      </c>
      <c r="AD285" s="51">
        <v>0</v>
      </c>
      <c r="AE285" s="38">
        <f t="shared" si="72"/>
        <v>0</v>
      </c>
      <c r="AF285" s="38">
        <f t="shared" si="73"/>
        <v>0</v>
      </c>
      <c r="AG285" s="38">
        <f t="shared" si="67"/>
        <v>0</v>
      </c>
      <c r="AH285" s="38">
        <v>0</v>
      </c>
      <c r="AI285" s="38">
        <f t="shared" si="74"/>
        <v>0</v>
      </c>
      <c r="AJ285" s="38"/>
      <c r="AK285" s="38">
        <f t="shared" si="75"/>
        <v>0</v>
      </c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10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10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10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10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10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10"/>
      <c r="GJ285" s="9"/>
      <c r="GK285" s="9"/>
    </row>
    <row r="286" spans="1:193" s="2" customFormat="1" ht="16.95" customHeight="1">
      <c r="A286" s="14" t="s">
        <v>170</v>
      </c>
      <c r="B286" s="38">
        <v>0</v>
      </c>
      <c r="C286" s="38">
        <v>0</v>
      </c>
      <c r="D286" s="4">
        <f t="shared" si="68"/>
        <v>0</v>
      </c>
      <c r="E286" s="11">
        <v>0</v>
      </c>
      <c r="F286" s="5" t="s">
        <v>371</v>
      </c>
      <c r="G286" s="5" t="s">
        <v>371</v>
      </c>
      <c r="H286" s="5" t="s">
        <v>371</v>
      </c>
      <c r="I286" s="5" t="s">
        <v>371</v>
      </c>
      <c r="J286" s="5" t="s">
        <v>371</v>
      </c>
      <c r="K286" s="5" t="s">
        <v>371</v>
      </c>
      <c r="L286" s="5" t="s">
        <v>371</v>
      </c>
      <c r="M286" s="5" t="s">
        <v>371</v>
      </c>
      <c r="N286" s="38">
        <v>359.3</v>
      </c>
      <c r="O286" s="38">
        <v>115.5</v>
      </c>
      <c r="P286" s="4">
        <f t="shared" si="69"/>
        <v>0.32145839131644866</v>
      </c>
      <c r="Q286" s="11">
        <v>20</v>
      </c>
      <c r="R286" s="11">
        <v>1</v>
      </c>
      <c r="S286" s="11">
        <v>15</v>
      </c>
      <c r="T286" s="38">
        <v>87</v>
      </c>
      <c r="U286" s="38">
        <v>100.9</v>
      </c>
      <c r="V286" s="4">
        <f t="shared" si="70"/>
        <v>1.1597701149425288</v>
      </c>
      <c r="W286" s="11">
        <v>25</v>
      </c>
      <c r="X286" s="38">
        <v>2.8</v>
      </c>
      <c r="Y286" s="38">
        <v>3</v>
      </c>
      <c r="Z286" s="4">
        <f t="shared" si="71"/>
        <v>1.0714285714285714</v>
      </c>
      <c r="AA286" s="11">
        <v>25</v>
      </c>
      <c r="AB286" s="50">
        <f t="shared" si="76"/>
        <v>0.90834276453654683</v>
      </c>
      <c r="AC286" s="50">
        <f t="shared" si="77"/>
        <v>0.90834276453654683</v>
      </c>
      <c r="AD286" s="51">
        <v>284</v>
      </c>
      <c r="AE286" s="38">
        <f t="shared" si="72"/>
        <v>25.818181818181817</v>
      </c>
      <c r="AF286" s="38">
        <f t="shared" si="73"/>
        <v>23.5</v>
      </c>
      <c r="AG286" s="38">
        <f t="shared" si="67"/>
        <v>-2.3181818181818166</v>
      </c>
      <c r="AH286" s="38">
        <v>-0.9</v>
      </c>
      <c r="AI286" s="38">
        <f t="shared" si="74"/>
        <v>22.6</v>
      </c>
      <c r="AJ286" s="38"/>
      <c r="AK286" s="38">
        <f t="shared" si="75"/>
        <v>22.6</v>
      </c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10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10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10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10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10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10"/>
      <c r="GJ286" s="9"/>
      <c r="GK286" s="9"/>
    </row>
    <row r="287" spans="1:193" s="2" customFormat="1" ht="16.95" customHeight="1">
      <c r="A287" s="19" t="s">
        <v>283</v>
      </c>
      <c r="B287" s="72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10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10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10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10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10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10"/>
      <c r="GJ287" s="9"/>
      <c r="GK287" s="9"/>
    </row>
    <row r="288" spans="1:193" s="2" customFormat="1" ht="16.95" customHeight="1">
      <c r="A288" s="53" t="s">
        <v>73</v>
      </c>
      <c r="B288" s="38">
        <v>65000</v>
      </c>
      <c r="C288" s="38">
        <v>79667</v>
      </c>
      <c r="D288" s="4">
        <f t="shared" si="68"/>
        <v>1.2256461538461538</v>
      </c>
      <c r="E288" s="11">
        <v>10</v>
      </c>
      <c r="F288" s="5" t="s">
        <v>371</v>
      </c>
      <c r="G288" s="5" t="s">
        <v>371</v>
      </c>
      <c r="H288" s="5" t="s">
        <v>371</v>
      </c>
      <c r="I288" s="5" t="s">
        <v>371</v>
      </c>
      <c r="J288" s="5" t="s">
        <v>371</v>
      </c>
      <c r="K288" s="5" t="s">
        <v>371</v>
      </c>
      <c r="L288" s="5" t="s">
        <v>371</v>
      </c>
      <c r="M288" s="5" t="s">
        <v>371</v>
      </c>
      <c r="N288" s="38">
        <v>666.9</v>
      </c>
      <c r="O288" s="38">
        <v>553</v>
      </c>
      <c r="P288" s="4">
        <f t="shared" si="69"/>
        <v>0.82920977657819761</v>
      </c>
      <c r="Q288" s="11">
        <v>20</v>
      </c>
      <c r="R288" s="11">
        <v>1</v>
      </c>
      <c r="S288" s="11">
        <v>15</v>
      </c>
      <c r="T288" s="38">
        <v>0</v>
      </c>
      <c r="U288" s="38">
        <v>0</v>
      </c>
      <c r="V288" s="4">
        <f t="shared" si="70"/>
        <v>1</v>
      </c>
      <c r="W288" s="11">
        <v>5</v>
      </c>
      <c r="X288" s="38">
        <v>910</v>
      </c>
      <c r="Y288" s="38">
        <v>892.1</v>
      </c>
      <c r="Z288" s="4">
        <f t="shared" si="71"/>
        <v>0.98032967032967033</v>
      </c>
      <c r="AA288" s="11">
        <v>45</v>
      </c>
      <c r="AB288" s="50">
        <f t="shared" si="76"/>
        <v>0.97847886563011222</v>
      </c>
      <c r="AC288" s="50">
        <f t="shared" si="77"/>
        <v>0.97847886563011222</v>
      </c>
      <c r="AD288" s="51">
        <v>551</v>
      </c>
      <c r="AE288" s="38">
        <f t="shared" si="72"/>
        <v>50.090909090909093</v>
      </c>
      <c r="AF288" s="38">
        <f t="shared" si="73"/>
        <v>49</v>
      </c>
      <c r="AG288" s="38">
        <f t="shared" si="67"/>
        <v>-1.0909090909090935</v>
      </c>
      <c r="AH288" s="38">
        <v>4.9000000000000004</v>
      </c>
      <c r="AI288" s="38">
        <f t="shared" si="74"/>
        <v>53.9</v>
      </c>
      <c r="AJ288" s="38"/>
      <c r="AK288" s="38">
        <f t="shared" si="75"/>
        <v>53.9</v>
      </c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10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10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10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10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10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10"/>
      <c r="GJ288" s="9"/>
      <c r="GK288" s="9"/>
    </row>
    <row r="289" spans="1:193" s="2" customFormat="1" ht="16.95" customHeight="1">
      <c r="A289" s="53" t="s">
        <v>284</v>
      </c>
      <c r="B289" s="38">
        <v>15</v>
      </c>
      <c r="C289" s="38">
        <v>11.2</v>
      </c>
      <c r="D289" s="4">
        <f t="shared" si="68"/>
        <v>0.74666666666666659</v>
      </c>
      <c r="E289" s="11">
        <v>10</v>
      </c>
      <c r="F289" s="5" t="s">
        <v>371</v>
      </c>
      <c r="G289" s="5" t="s">
        <v>371</v>
      </c>
      <c r="H289" s="5" t="s">
        <v>371</v>
      </c>
      <c r="I289" s="5" t="s">
        <v>371</v>
      </c>
      <c r="J289" s="5" t="s">
        <v>371</v>
      </c>
      <c r="K289" s="5" t="s">
        <v>371</v>
      </c>
      <c r="L289" s="5" t="s">
        <v>371</v>
      </c>
      <c r="M289" s="5" t="s">
        <v>371</v>
      </c>
      <c r="N289" s="38">
        <v>194.8</v>
      </c>
      <c r="O289" s="38">
        <v>78.5</v>
      </c>
      <c r="P289" s="4">
        <f t="shared" si="69"/>
        <v>0.40297741273100612</v>
      </c>
      <c r="Q289" s="11">
        <v>20</v>
      </c>
      <c r="R289" s="11">
        <v>1</v>
      </c>
      <c r="S289" s="11">
        <v>15</v>
      </c>
      <c r="T289" s="38">
        <v>0</v>
      </c>
      <c r="U289" s="38">
        <v>0</v>
      </c>
      <c r="V289" s="4">
        <f t="shared" si="70"/>
        <v>1</v>
      </c>
      <c r="W289" s="11">
        <v>20</v>
      </c>
      <c r="X289" s="38">
        <v>0</v>
      </c>
      <c r="Y289" s="38">
        <v>0</v>
      </c>
      <c r="Z289" s="4">
        <f t="shared" si="71"/>
        <v>1</v>
      </c>
      <c r="AA289" s="11">
        <v>30</v>
      </c>
      <c r="AB289" s="50">
        <f t="shared" si="76"/>
        <v>0.84764436759249262</v>
      </c>
      <c r="AC289" s="50">
        <f t="shared" si="77"/>
        <v>0.84764436759249262</v>
      </c>
      <c r="AD289" s="51">
        <v>53</v>
      </c>
      <c r="AE289" s="38">
        <f t="shared" si="72"/>
        <v>4.8181818181818183</v>
      </c>
      <c r="AF289" s="38">
        <f t="shared" si="73"/>
        <v>4.0999999999999996</v>
      </c>
      <c r="AG289" s="38">
        <f t="shared" si="67"/>
        <v>-0.7181818181818187</v>
      </c>
      <c r="AH289" s="38">
        <v>-0.1</v>
      </c>
      <c r="AI289" s="38">
        <f t="shared" si="74"/>
        <v>3.9999999999999996</v>
      </c>
      <c r="AJ289" s="38"/>
      <c r="AK289" s="38">
        <f t="shared" si="75"/>
        <v>4</v>
      </c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10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10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10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10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10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10"/>
      <c r="GJ289" s="9"/>
      <c r="GK289" s="9"/>
    </row>
    <row r="290" spans="1:193" s="2" customFormat="1" ht="16.95" customHeight="1">
      <c r="A290" s="53" t="s">
        <v>285</v>
      </c>
      <c r="B290" s="38">
        <v>2400</v>
      </c>
      <c r="C290" s="38">
        <v>0</v>
      </c>
      <c r="D290" s="4">
        <f t="shared" si="68"/>
        <v>0</v>
      </c>
      <c r="E290" s="11">
        <v>10</v>
      </c>
      <c r="F290" s="5" t="s">
        <v>371</v>
      </c>
      <c r="G290" s="5" t="s">
        <v>371</v>
      </c>
      <c r="H290" s="5" t="s">
        <v>371</v>
      </c>
      <c r="I290" s="5" t="s">
        <v>371</v>
      </c>
      <c r="J290" s="5" t="s">
        <v>371</v>
      </c>
      <c r="K290" s="5" t="s">
        <v>371</v>
      </c>
      <c r="L290" s="5" t="s">
        <v>371</v>
      </c>
      <c r="M290" s="5" t="s">
        <v>371</v>
      </c>
      <c r="N290" s="38">
        <v>384.9</v>
      </c>
      <c r="O290" s="38">
        <v>545.1</v>
      </c>
      <c r="P290" s="4">
        <f t="shared" si="69"/>
        <v>1.416212003117693</v>
      </c>
      <c r="Q290" s="11">
        <v>20</v>
      </c>
      <c r="R290" s="11">
        <v>1</v>
      </c>
      <c r="S290" s="11">
        <v>15</v>
      </c>
      <c r="T290" s="38">
        <v>0</v>
      </c>
      <c r="U290" s="38">
        <v>0</v>
      </c>
      <c r="V290" s="4">
        <f t="shared" si="70"/>
        <v>1</v>
      </c>
      <c r="W290" s="11">
        <v>25</v>
      </c>
      <c r="X290" s="38">
        <v>0</v>
      </c>
      <c r="Y290" s="38">
        <v>0</v>
      </c>
      <c r="Z290" s="4">
        <f t="shared" si="71"/>
        <v>1</v>
      </c>
      <c r="AA290" s="11">
        <v>25</v>
      </c>
      <c r="AB290" s="50">
        <f t="shared" si="76"/>
        <v>0.98236042170898796</v>
      </c>
      <c r="AC290" s="50">
        <f t="shared" si="77"/>
        <v>0.98236042170898796</v>
      </c>
      <c r="AD290" s="51">
        <v>132</v>
      </c>
      <c r="AE290" s="38">
        <f t="shared" si="72"/>
        <v>12</v>
      </c>
      <c r="AF290" s="38">
        <f t="shared" si="73"/>
        <v>11.8</v>
      </c>
      <c r="AG290" s="38">
        <f t="shared" si="67"/>
        <v>-0.19999999999999929</v>
      </c>
      <c r="AH290" s="38">
        <v>1.1000000000000001</v>
      </c>
      <c r="AI290" s="38">
        <f t="shared" si="74"/>
        <v>12.9</v>
      </c>
      <c r="AJ290" s="38">
        <f>MIN($AI290,72.7)</f>
        <v>12.9</v>
      </c>
      <c r="AK290" s="38">
        <f t="shared" si="75"/>
        <v>0</v>
      </c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10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10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10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10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10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10"/>
      <c r="GJ290" s="9"/>
      <c r="GK290" s="9"/>
    </row>
    <row r="291" spans="1:193" s="2" customFormat="1" ht="16.95" customHeight="1">
      <c r="A291" s="53" t="s">
        <v>54</v>
      </c>
      <c r="B291" s="38">
        <v>744525</v>
      </c>
      <c r="C291" s="38">
        <v>754384.3</v>
      </c>
      <c r="D291" s="4">
        <f t="shared" si="68"/>
        <v>1.0132424028743159</v>
      </c>
      <c r="E291" s="11">
        <v>10</v>
      </c>
      <c r="F291" s="5" t="s">
        <v>371</v>
      </c>
      <c r="G291" s="5" t="s">
        <v>371</v>
      </c>
      <c r="H291" s="5" t="s">
        <v>371</v>
      </c>
      <c r="I291" s="5" t="s">
        <v>371</v>
      </c>
      <c r="J291" s="5" t="s">
        <v>371</v>
      </c>
      <c r="K291" s="5" t="s">
        <v>371</v>
      </c>
      <c r="L291" s="5" t="s">
        <v>371</v>
      </c>
      <c r="M291" s="5" t="s">
        <v>371</v>
      </c>
      <c r="N291" s="38">
        <v>3780.2</v>
      </c>
      <c r="O291" s="38">
        <v>3353</v>
      </c>
      <c r="P291" s="4">
        <f t="shared" si="69"/>
        <v>0.88699010634357978</v>
      </c>
      <c r="Q291" s="11">
        <v>20</v>
      </c>
      <c r="R291" s="11">
        <v>1</v>
      </c>
      <c r="S291" s="11">
        <v>15</v>
      </c>
      <c r="T291" s="38">
        <v>340</v>
      </c>
      <c r="U291" s="38">
        <v>348.2</v>
      </c>
      <c r="V291" s="4">
        <f t="shared" si="70"/>
        <v>1.0241176470588236</v>
      </c>
      <c r="W291" s="11">
        <v>35</v>
      </c>
      <c r="X291" s="38">
        <v>0</v>
      </c>
      <c r="Y291" s="38">
        <v>0</v>
      </c>
      <c r="Z291" s="4">
        <f t="shared" si="71"/>
        <v>1</v>
      </c>
      <c r="AA291" s="11">
        <v>15</v>
      </c>
      <c r="AB291" s="50">
        <f t="shared" si="76"/>
        <v>0.98648782950182712</v>
      </c>
      <c r="AC291" s="50">
        <f t="shared" si="77"/>
        <v>0.98648782950182712</v>
      </c>
      <c r="AD291" s="51">
        <v>62</v>
      </c>
      <c r="AE291" s="38">
        <f t="shared" si="72"/>
        <v>5.6363636363636367</v>
      </c>
      <c r="AF291" s="38">
        <f t="shared" si="73"/>
        <v>5.6</v>
      </c>
      <c r="AG291" s="38">
        <f t="shared" si="67"/>
        <v>-3.6363636363637042E-2</v>
      </c>
      <c r="AH291" s="38">
        <v>0.5</v>
      </c>
      <c r="AI291" s="38">
        <f t="shared" si="74"/>
        <v>6.1</v>
      </c>
      <c r="AJ291" s="38">
        <f>MIN($AI291,191.8)</f>
        <v>6.1</v>
      </c>
      <c r="AK291" s="38">
        <f t="shared" si="75"/>
        <v>0</v>
      </c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10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10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10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10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10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10"/>
      <c r="GJ291" s="9"/>
      <c r="GK291" s="9"/>
    </row>
    <row r="292" spans="1:193" s="2" customFormat="1" ht="16.95" customHeight="1">
      <c r="A292" s="53" t="s">
        <v>286</v>
      </c>
      <c r="B292" s="38">
        <v>245</v>
      </c>
      <c r="C292" s="38">
        <v>278</v>
      </c>
      <c r="D292" s="4">
        <f t="shared" si="68"/>
        <v>1.1346938775510205</v>
      </c>
      <c r="E292" s="11">
        <v>10</v>
      </c>
      <c r="F292" s="5" t="s">
        <v>371</v>
      </c>
      <c r="G292" s="5" t="s">
        <v>371</v>
      </c>
      <c r="H292" s="5" t="s">
        <v>371</v>
      </c>
      <c r="I292" s="5" t="s">
        <v>371</v>
      </c>
      <c r="J292" s="5" t="s">
        <v>371</v>
      </c>
      <c r="K292" s="5" t="s">
        <v>371</v>
      </c>
      <c r="L292" s="5" t="s">
        <v>371</v>
      </c>
      <c r="M292" s="5" t="s">
        <v>371</v>
      </c>
      <c r="N292" s="38">
        <v>532.29999999999995</v>
      </c>
      <c r="O292" s="38">
        <v>232.5</v>
      </c>
      <c r="P292" s="4">
        <f t="shared" si="69"/>
        <v>0.4367837685515687</v>
      </c>
      <c r="Q292" s="11">
        <v>20</v>
      </c>
      <c r="R292" s="11">
        <v>1</v>
      </c>
      <c r="S292" s="11">
        <v>15</v>
      </c>
      <c r="T292" s="38">
        <v>15</v>
      </c>
      <c r="U292" s="38">
        <v>11.1</v>
      </c>
      <c r="V292" s="4">
        <f t="shared" si="70"/>
        <v>0.74</v>
      </c>
      <c r="W292" s="11">
        <v>35</v>
      </c>
      <c r="X292" s="38">
        <v>0</v>
      </c>
      <c r="Y292" s="38">
        <v>0</v>
      </c>
      <c r="Z292" s="4">
        <f t="shared" si="71"/>
        <v>1</v>
      </c>
      <c r="AA292" s="11">
        <v>15</v>
      </c>
      <c r="AB292" s="50">
        <f t="shared" si="76"/>
        <v>0.79981699101622716</v>
      </c>
      <c r="AC292" s="50">
        <f t="shared" si="77"/>
        <v>0.79981699101622716</v>
      </c>
      <c r="AD292" s="51">
        <v>433</v>
      </c>
      <c r="AE292" s="38">
        <f t="shared" si="72"/>
        <v>39.363636363636367</v>
      </c>
      <c r="AF292" s="38">
        <f t="shared" si="73"/>
        <v>31.5</v>
      </c>
      <c r="AG292" s="38">
        <f t="shared" si="67"/>
        <v>-7.8636363636363669</v>
      </c>
      <c r="AH292" s="38">
        <v>0.2</v>
      </c>
      <c r="AI292" s="38">
        <f t="shared" si="74"/>
        <v>31.7</v>
      </c>
      <c r="AJ292" s="38"/>
      <c r="AK292" s="38">
        <f t="shared" si="75"/>
        <v>31.7</v>
      </c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10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10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10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10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10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10"/>
      <c r="GJ292" s="9"/>
      <c r="GK292" s="9"/>
    </row>
    <row r="293" spans="1:193" s="2" customFormat="1" ht="16.95" customHeight="1">
      <c r="A293" s="53" t="s">
        <v>287</v>
      </c>
      <c r="B293" s="38">
        <v>0</v>
      </c>
      <c r="C293" s="38">
        <v>0</v>
      </c>
      <c r="D293" s="4">
        <f t="shared" si="68"/>
        <v>0</v>
      </c>
      <c r="E293" s="11">
        <v>0</v>
      </c>
      <c r="F293" s="5" t="s">
        <v>371</v>
      </c>
      <c r="G293" s="5" t="s">
        <v>371</v>
      </c>
      <c r="H293" s="5" t="s">
        <v>371</v>
      </c>
      <c r="I293" s="5" t="s">
        <v>371</v>
      </c>
      <c r="J293" s="5" t="s">
        <v>371</v>
      </c>
      <c r="K293" s="5" t="s">
        <v>371</v>
      </c>
      <c r="L293" s="5" t="s">
        <v>371</v>
      </c>
      <c r="M293" s="5" t="s">
        <v>371</v>
      </c>
      <c r="N293" s="38">
        <v>391.3</v>
      </c>
      <c r="O293" s="38">
        <v>244.7</v>
      </c>
      <c r="P293" s="4">
        <f t="shared" si="69"/>
        <v>0.62535139279325325</v>
      </c>
      <c r="Q293" s="11">
        <v>20</v>
      </c>
      <c r="R293" s="11">
        <v>1</v>
      </c>
      <c r="S293" s="11">
        <v>15</v>
      </c>
      <c r="T293" s="38">
        <v>115</v>
      </c>
      <c r="U293" s="38">
        <v>214.3</v>
      </c>
      <c r="V293" s="4">
        <f t="shared" si="70"/>
        <v>1.8634782608695653</v>
      </c>
      <c r="W293" s="11">
        <v>30</v>
      </c>
      <c r="X293" s="38">
        <v>0</v>
      </c>
      <c r="Y293" s="38">
        <v>0</v>
      </c>
      <c r="Z293" s="4">
        <f t="shared" si="71"/>
        <v>1</v>
      </c>
      <c r="AA293" s="11">
        <v>20</v>
      </c>
      <c r="AB293" s="50">
        <f t="shared" si="76"/>
        <v>1.2166044197876709</v>
      </c>
      <c r="AC293" s="50">
        <f t="shared" si="77"/>
        <v>1.2016604419787671</v>
      </c>
      <c r="AD293" s="51">
        <v>69</v>
      </c>
      <c r="AE293" s="38">
        <f t="shared" si="72"/>
        <v>6.2727272727272725</v>
      </c>
      <c r="AF293" s="38">
        <f t="shared" si="73"/>
        <v>7.5</v>
      </c>
      <c r="AG293" s="38">
        <f t="shared" si="67"/>
        <v>1.2272727272727275</v>
      </c>
      <c r="AH293" s="38">
        <v>0.6</v>
      </c>
      <c r="AI293" s="38">
        <f t="shared" si="74"/>
        <v>8.1</v>
      </c>
      <c r="AJ293" s="38"/>
      <c r="AK293" s="38">
        <f t="shared" si="75"/>
        <v>8.1</v>
      </c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10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10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10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10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10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10"/>
      <c r="GJ293" s="9"/>
      <c r="GK293" s="9"/>
    </row>
    <row r="294" spans="1:193" s="2" customFormat="1" ht="16.95" customHeight="1">
      <c r="A294" s="53" t="s">
        <v>288</v>
      </c>
      <c r="B294" s="38">
        <v>0</v>
      </c>
      <c r="C294" s="38">
        <v>0</v>
      </c>
      <c r="D294" s="4">
        <f t="shared" si="68"/>
        <v>0</v>
      </c>
      <c r="E294" s="11">
        <v>0</v>
      </c>
      <c r="F294" s="5" t="s">
        <v>371</v>
      </c>
      <c r="G294" s="5" t="s">
        <v>371</v>
      </c>
      <c r="H294" s="5" t="s">
        <v>371</v>
      </c>
      <c r="I294" s="5" t="s">
        <v>371</v>
      </c>
      <c r="J294" s="5" t="s">
        <v>371</v>
      </c>
      <c r="K294" s="5" t="s">
        <v>371</v>
      </c>
      <c r="L294" s="5" t="s">
        <v>371</v>
      </c>
      <c r="M294" s="5" t="s">
        <v>371</v>
      </c>
      <c r="N294" s="38">
        <v>1767.5</v>
      </c>
      <c r="O294" s="38">
        <v>847.6</v>
      </c>
      <c r="P294" s="4">
        <f t="shared" si="69"/>
        <v>0.47954738330975955</v>
      </c>
      <c r="Q294" s="11">
        <v>20</v>
      </c>
      <c r="R294" s="11">
        <v>1</v>
      </c>
      <c r="S294" s="11">
        <v>15</v>
      </c>
      <c r="T294" s="38">
        <v>0</v>
      </c>
      <c r="U294" s="38">
        <v>0</v>
      </c>
      <c r="V294" s="4">
        <f t="shared" si="70"/>
        <v>1</v>
      </c>
      <c r="W294" s="11">
        <v>35</v>
      </c>
      <c r="X294" s="38">
        <v>0</v>
      </c>
      <c r="Y294" s="38">
        <v>0</v>
      </c>
      <c r="Z294" s="4">
        <f t="shared" si="71"/>
        <v>1</v>
      </c>
      <c r="AA294" s="11">
        <v>15</v>
      </c>
      <c r="AB294" s="50">
        <f t="shared" si="76"/>
        <v>0.87754056077876696</v>
      </c>
      <c r="AC294" s="50">
        <f t="shared" si="77"/>
        <v>0.87754056077876696</v>
      </c>
      <c r="AD294" s="51">
        <v>123</v>
      </c>
      <c r="AE294" s="38">
        <f t="shared" si="72"/>
        <v>11.181818181818182</v>
      </c>
      <c r="AF294" s="38">
        <f t="shared" si="73"/>
        <v>9.8000000000000007</v>
      </c>
      <c r="AG294" s="38">
        <f t="shared" si="67"/>
        <v>-1.3818181818181809</v>
      </c>
      <c r="AH294" s="38">
        <v>6</v>
      </c>
      <c r="AI294" s="38">
        <f t="shared" si="74"/>
        <v>15.8</v>
      </c>
      <c r="AJ294" s="38"/>
      <c r="AK294" s="38">
        <f t="shared" si="75"/>
        <v>15.8</v>
      </c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10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10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10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10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10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10"/>
      <c r="GJ294" s="9"/>
      <c r="GK294" s="9"/>
    </row>
    <row r="295" spans="1:193" s="2" customFormat="1" ht="16.95" customHeight="1">
      <c r="A295" s="53" t="s">
        <v>289</v>
      </c>
      <c r="B295" s="38">
        <v>0</v>
      </c>
      <c r="C295" s="38">
        <v>0</v>
      </c>
      <c r="D295" s="4">
        <f t="shared" si="68"/>
        <v>0</v>
      </c>
      <c r="E295" s="11">
        <v>0</v>
      </c>
      <c r="F295" s="5" t="s">
        <v>371</v>
      </c>
      <c r="G295" s="5" t="s">
        <v>371</v>
      </c>
      <c r="H295" s="5" t="s">
        <v>371</v>
      </c>
      <c r="I295" s="5" t="s">
        <v>371</v>
      </c>
      <c r="J295" s="5" t="s">
        <v>371</v>
      </c>
      <c r="K295" s="5" t="s">
        <v>371</v>
      </c>
      <c r="L295" s="5" t="s">
        <v>371</v>
      </c>
      <c r="M295" s="5" t="s">
        <v>371</v>
      </c>
      <c r="N295" s="38">
        <v>455.7</v>
      </c>
      <c r="O295" s="38">
        <v>297.10000000000002</v>
      </c>
      <c r="P295" s="4">
        <f t="shared" si="69"/>
        <v>0.65196401141101612</v>
      </c>
      <c r="Q295" s="11">
        <v>20</v>
      </c>
      <c r="R295" s="11">
        <v>1</v>
      </c>
      <c r="S295" s="11">
        <v>15</v>
      </c>
      <c r="T295" s="38">
        <v>140</v>
      </c>
      <c r="U295" s="38">
        <v>121.9</v>
      </c>
      <c r="V295" s="4">
        <f t="shared" si="70"/>
        <v>0.87071428571428577</v>
      </c>
      <c r="W295" s="11">
        <v>40</v>
      </c>
      <c r="X295" s="38">
        <v>0</v>
      </c>
      <c r="Y295" s="38">
        <v>0</v>
      </c>
      <c r="Z295" s="4">
        <f t="shared" si="71"/>
        <v>1</v>
      </c>
      <c r="AA295" s="11">
        <v>10</v>
      </c>
      <c r="AB295" s="50">
        <f t="shared" si="76"/>
        <v>0.85726884302107931</v>
      </c>
      <c r="AC295" s="50">
        <f t="shared" si="77"/>
        <v>0.85726884302107931</v>
      </c>
      <c r="AD295" s="51">
        <v>146</v>
      </c>
      <c r="AE295" s="38">
        <f t="shared" si="72"/>
        <v>13.272727272727273</v>
      </c>
      <c r="AF295" s="38">
        <f t="shared" si="73"/>
        <v>11.4</v>
      </c>
      <c r="AG295" s="38">
        <f t="shared" si="67"/>
        <v>-1.872727272727273</v>
      </c>
      <c r="AH295" s="38">
        <v>10.6</v>
      </c>
      <c r="AI295" s="38">
        <f t="shared" si="74"/>
        <v>22</v>
      </c>
      <c r="AJ295" s="38"/>
      <c r="AK295" s="38">
        <f t="shared" si="75"/>
        <v>22</v>
      </c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10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10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10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10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10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10"/>
      <c r="GJ295" s="9"/>
      <c r="GK295" s="9"/>
    </row>
    <row r="296" spans="1:193" s="2" customFormat="1" ht="16.95" customHeight="1">
      <c r="A296" s="53" t="s">
        <v>290</v>
      </c>
      <c r="B296" s="38">
        <v>0</v>
      </c>
      <c r="C296" s="38">
        <v>0</v>
      </c>
      <c r="D296" s="4">
        <f t="shared" si="68"/>
        <v>0</v>
      </c>
      <c r="E296" s="11">
        <v>0</v>
      </c>
      <c r="F296" s="5" t="s">
        <v>371</v>
      </c>
      <c r="G296" s="5" t="s">
        <v>371</v>
      </c>
      <c r="H296" s="5" t="s">
        <v>371</v>
      </c>
      <c r="I296" s="5" t="s">
        <v>371</v>
      </c>
      <c r="J296" s="5" t="s">
        <v>371</v>
      </c>
      <c r="K296" s="5" t="s">
        <v>371</v>
      </c>
      <c r="L296" s="5" t="s">
        <v>371</v>
      </c>
      <c r="M296" s="5" t="s">
        <v>371</v>
      </c>
      <c r="N296" s="38">
        <v>142.80000000000001</v>
      </c>
      <c r="O296" s="38">
        <v>40.200000000000003</v>
      </c>
      <c r="P296" s="4">
        <f t="shared" si="69"/>
        <v>0.28151260504201681</v>
      </c>
      <c r="Q296" s="11">
        <v>20</v>
      </c>
      <c r="R296" s="11">
        <v>1</v>
      </c>
      <c r="S296" s="11">
        <v>15</v>
      </c>
      <c r="T296" s="38">
        <v>0</v>
      </c>
      <c r="U296" s="38">
        <v>0</v>
      </c>
      <c r="V296" s="4">
        <f t="shared" si="70"/>
        <v>1</v>
      </c>
      <c r="W296" s="11">
        <v>40</v>
      </c>
      <c r="X296" s="38">
        <v>0</v>
      </c>
      <c r="Y296" s="38">
        <v>0</v>
      </c>
      <c r="Z296" s="4">
        <f t="shared" si="71"/>
        <v>1</v>
      </c>
      <c r="AA296" s="11">
        <v>10</v>
      </c>
      <c r="AB296" s="50">
        <f t="shared" si="76"/>
        <v>0.83094414236282754</v>
      </c>
      <c r="AC296" s="50">
        <f t="shared" si="77"/>
        <v>0.83094414236282754</v>
      </c>
      <c r="AD296" s="51">
        <v>143</v>
      </c>
      <c r="AE296" s="38">
        <f t="shared" si="72"/>
        <v>13</v>
      </c>
      <c r="AF296" s="38">
        <f t="shared" si="73"/>
        <v>10.8</v>
      </c>
      <c r="AG296" s="38">
        <f t="shared" si="67"/>
        <v>-2.1999999999999993</v>
      </c>
      <c r="AH296" s="38">
        <v>4.7</v>
      </c>
      <c r="AI296" s="38">
        <f t="shared" si="74"/>
        <v>15.5</v>
      </c>
      <c r="AJ296" s="38"/>
      <c r="AK296" s="38">
        <f t="shared" si="75"/>
        <v>15.5</v>
      </c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10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10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10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10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10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10"/>
      <c r="GJ296" s="9"/>
      <c r="GK296" s="9"/>
    </row>
    <row r="297" spans="1:193" s="2" customFormat="1" ht="16.95" customHeight="1">
      <c r="A297" s="53" t="s">
        <v>291</v>
      </c>
      <c r="B297" s="38">
        <v>1100</v>
      </c>
      <c r="C297" s="38">
        <v>155</v>
      </c>
      <c r="D297" s="4">
        <f t="shared" si="68"/>
        <v>0.1409090909090909</v>
      </c>
      <c r="E297" s="11">
        <v>10</v>
      </c>
      <c r="F297" s="5" t="s">
        <v>371</v>
      </c>
      <c r="G297" s="5" t="s">
        <v>371</v>
      </c>
      <c r="H297" s="5" t="s">
        <v>371</v>
      </c>
      <c r="I297" s="5" t="s">
        <v>371</v>
      </c>
      <c r="J297" s="5" t="s">
        <v>371</v>
      </c>
      <c r="K297" s="5" t="s">
        <v>371</v>
      </c>
      <c r="L297" s="5" t="s">
        <v>371</v>
      </c>
      <c r="M297" s="5" t="s">
        <v>371</v>
      </c>
      <c r="N297" s="38">
        <v>755.8</v>
      </c>
      <c r="O297" s="38">
        <v>423.2</v>
      </c>
      <c r="P297" s="4">
        <f t="shared" si="69"/>
        <v>0.55993649113522093</v>
      </c>
      <c r="Q297" s="11">
        <v>20</v>
      </c>
      <c r="R297" s="11">
        <v>1</v>
      </c>
      <c r="S297" s="11">
        <v>15</v>
      </c>
      <c r="T297" s="38">
        <v>280</v>
      </c>
      <c r="U297" s="38">
        <v>287</v>
      </c>
      <c r="V297" s="4">
        <f t="shared" si="70"/>
        <v>1.0249999999999999</v>
      </c>
      <c r="W297" s="11">
        <v>35</v>
      </c>
      <c r="X297" s="38">
        <v>0</v>
      </c>
      <c r="Y297" s="38">
        <v>0</v>
      </c>
      <c r="Z297" s="4">
        <f t="shared" si="71"/>
        <v>1</v>
      </c>
      <c r="AA297" s="11">
        <v>15</v>
      </c>
      <c r="AB297" s="50">
        <f t="shared" si="76"/>
        <v>0.82613495507152979</v>
      </c>
      <c r="AC297" s="50">
        <f t="shared" si="77"/>
        <v>0.82613495507152979</v>
      </c>
      <c r="AD297" s="51">
        <v>652</v>
      </c>
      <c r="AE297" s="38">
        <f t="shared" si="72"/>
        <v>59.272727272727273</v>
      </c>
      <c r="AF297" s="38">
        <f t="shared" si="73"/>
        <v>49</v>
      </c>
      <c r="AG297" s="38">
        <f t="shared" si="67"/>
        <v>-10.272727272727273</v>
      </c>
      <c r="AH297" s="38">
        <v>-1.6</v>
      </c>
      <c r="AI297" s="38">
        <f t="shared" si="74"/>
        <v>47.4</v>
      </c>
      <c r="AJ297" s="38"/>
      <c r="AK297" s="38">
        <f t="shared" si="75"/>
        <v>47.4</v>
      </c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10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10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10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10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10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10"/>
      <c r="GJ297" s="9"/>
      <c r="GK297" s="9"/>
    </row>
    <row r="298" spans="1:193" s="2" customFormat="1" ht="16.95" customHeight="1">
      <c r="A298" s="53" t="s">
        <v>292</v>
      </c>
      <c r="B298" s="38">
        <v>0</v>
      </c>
      <c r="C298" s="38">
        <v>0</v>
      </c>
      <c r="D298" s="4">
        <f t="shared" si="68"/>
        <v>0</v>
      </c>
      <c r="E298" s="11">
        <v>0</v>
      </c>
      <c r="F298" s="5" t="s">
        <v>371</v>
      </c>
      <c r="G298" s="5" t="s">
        <v>371</v>
      </c>
      <c r="H298" s="5" t="s">
        <v>371</v>
      </c>
      <c r="I298" s="5" t="s">
        <v>371</v>
      </c>
      <c r="J298" s="5" t="s">
        <v>371</v>
      </c>
      <c r="K298" s="5" t="s">
        <v>371</v>
      </c>
      <c r="L298" s="5" t="s">
        <v>371</v>
      </c>
      <c r="M298" s="5" t="s">
        <v>371</v>
      </c>
      <c r="N298" s="38">
        <v>454.7</v>
      </c>
      <c r="O298" s="38">
        <v>294.39999999999998</v>
      </c>
      <c r="P298" s="4">
        <f t="shared" si="69"/>
        <v>0.64745986364636021</v>
      </c>
      <c r="Q298" s="11">
        <v>20</v>
      </c>
      <c r="R298" s="11">
        <v>1</v>
      </c>
      <c r="S298" s="11">
        <v>15</v>
      </c>
      <c r="T298" s="38">
        <v>0</v>
      </c>
      <c r="U298" s="38">
        <v>29</v>
      </c>
      <c r="V298" s="4">
        <f t="shared" si="70"/>
        <v>1</v>
      </c>
      <c r="W298" s="11">
        <v>40</v>
      </c>
      <c r="X298" s="38">
        <v>0</v>
      </c>
      <c r="Y298" s="38">
        <v>0</v>
      </c>
      <c r="Z298" s="4">
        <f t="shared" si="71"/>
        <v>1</v>
      </c>
      <c r="AA298" s="11">
        <v>10</v>
      </c>
      <c r="AB298" s="50">
        <f t="shared" si="76"/>
        <v>0.91704937968149658</v>
      </c>
      <c r="AC298" s="50">
        <f t="shared" si="77"/>
        <v>0.91704937968149658</v>
      </c>
      <c r="AD298" s="51">
        <v>168</v>
      </c>
      <c r="AE298" s="38">
        <f t="shared" si="72"/>
        <v>15.272727272727273</v>
      </c>
      <c r="AF298" s="38">
        <f t="shared" si="73"/>
        <v>14</v>
      </c>
      <c r="AG298" s="38">
        <f t="shared" si="67"/>
        <v>-1.2727272727272734</v>
      </c>
      <c r="AH298" s="38">
        <v>-3.6</v>
      </c>
      <c r="AI298" s="38">
        <f t="shared" si="74"/>
        <v>10.4</v>
      </c>
      <c r="AJ298" s="38"/>
      <c r="AK298" s="38">
        <f t="shared" si="75"/>
        <v>10.4</v>
      </c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10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10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10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10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10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10"/>
      <c r="GJ298" s="9"/>
      <c r="GK298" s="9"/>
    </row>
    <row r="299" spans="1:193" s="2" customFormat="1" ht="16.95" customHeight="1">
      <c r="A299" s="53" t="s">
        <v>293</v>
      </c>
      <c r="B299" s="38">
        <v>900</v>
      </c>
      <c r="C299" s="38">
        <v>646.5</v>
      </c>
      <c r="D299" s="4">
        <f t="shared" si="68"/>
        <v>0.71833333333333338</v>
      </c>
      <c r="E299" s="11">
        <v>10</v>
      </c>
      <c r="F299" s="5" t="s">
        <v>371</v>
      </c>
      <c r="G299" s="5" t="s">
        <v>371</v>
      </c>
      <c r="H299" s="5" t="s">
        <v>371</v>
      </c>
      <c r="I299" s="5" t="s">
        <v>371</v>
      </c>
      <c r="J299" s="5" t="s">
        <v>371</v>
      </c>
      <c r="K299" s="5" t="s">
        <v>371</v>
      </c>
      <c r="L299" s="5" t="s">
        <v>371</v>
      </c>
      <c r="M299" s="5" t="s">
        <v>371</v>
      </c>
      <c r="N299" s="38">
        <v>1028.2</v>
      </c>
      <c r="O299" s="38">
        <v>916</v>
      </c>
      <c r="P299" s="4">
        <f t="shared" si="69"/>
        <v>0.89087726123322308</v>
      </c>
      <c r="Q299" s="11">
        <v>20</v>
      </c>
      <c r="R299" s="11">
        <v>1</v>
      </c>
      <c r="S299" s="11">
        <v>15</v>
      </c>
      <c r="T299" s="38">
        <v>0</v>
      </c>
      <c r="U299" s="38">
        <v>157</v>
      </c>
      <c r="V299" s="4">
        <f t="shared" si="70"/>
        <v>1</v>
      </c>
      <c r="W299" s="11">
        <v>30</v>
      </c>
      <c r="X299" s="38">
        <v>0</v>
      </c>
      <c r="Y299" s="38">
        <v>0</v>
      </c>
      <c r="Z299" s="4">
        <f t="shared" si="71"/>
        <v>1</v>
      </c>
      <c r="AA299" s="11">
        <v>20</v>
      </c>
      <c r="AB299" s="50">
        <f t="shared" si="76"/>
        <v>0.94737766903155574</v>
      </c>
      <c r="AC299" s="50">
        <f t="shared" si="77"/>
        <v>0.94737766903155574</v>
      </c>
      <c r="AD299" s="51">
        <v>74</v>
      </c>
      <c r="AE299" s="38">
        <f t="shared" si="72"/>
        <v>6.7272727272727275</v>
      </c>
      <c r="AF299" s="38">
        <f t="shared" si="73"/>
        <v>6.4</v>
      </c>
      <c r="AG299" s="38">
        <f t="shared" si="67"/>
        <v>-0.32727272727272716</v>
      </c>
      <c r="AH299" s="38">
        <v>0</v>
      </c>
      <c r="AI299" s="38">
        <f t="shared" si="74"/>
        <v>6.4</v>
      </c>
      <c r="AJ299" s="38">
        <f>MIN($AI299,13.5)</f>
        <v>6.4</v>
      </c>
      <c r="AK299" s="38">
        <f t="shared" si="75"/>
        <v>0</v>
      </c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10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10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10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10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10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10"/>
      <c r="GJ299" s="9"/>
      <c r="GK299" s="9"/>
    </row>
    <row r="300" spans="1:193" s="2" customFormat="1" ht="16.95" customHeight="1">
      <c r="A300" s="53" t="s">
        <v>294</v>
      </c>
      <c r="B300" s="38">
        <v>500</v>
      </c>
      <c r="C300" s="38">
        <v>681</v>
      </c>
      <c r="D300" s="4">
        <f t="shared" si="68"/>
        <v>1.3620000000000001</v>
      </c>
      <c r="E300" s="11">
        <v>10</v>
      </c>
      <c r="F300" s="5" t="s">
        <v>371</v>
      </c>
      <c r="G300" s="5" t="s">
        <v>371</v>
      </c>
      <c r="H300" s="5" t="s">
        <v>371</v>
      </c>
      <c r="I300" s="5" t="s">
        <v>371</v>
      </c>
      <c r="J300" s="5" t="s">
        <v>371</v>
      </c>
      <c r="K300" s="5" t="s">
        <v>371</v>
      </c>
      <c r="L300" s="5" t="s">
        <v>371</v>
      </c>
      <c r="M300" s="5" t="s">
        <v>371</v>
      </c>
      <c r="N300" s="38">
        <v>168.7</v>
      </c>
      <c r="O300" s="38">
        <v>201.4</v>
      </c>
      <c r="P300" s="4">
        <f t="shared" si="69"/>
        <v>1.193835210432721</v>
      </c>
      <c r="Q300" s="11">
        <v>20</v>
      </c>
      <c r="R300" s="11">
        <v>1</v>
      </c>
      <c r="S300" s="11">
        <v>15</v>
      </c>
      <c r="T300" s="38">
        <v>0</v>
      </c>
      <c r="U300" s="38">
        <v>21</v>
      </c>
      <c r="V300" s="4">
        <f t="shared" si="70"/>
        <v>1</v>
      </c>
      <c r="W300" s="11">
        <v>30</v>
      </c>
      <c r="X300" s="38">
        <v>0</v>
      </c>
      <c r="Y300" s="38">
        <v>0</v>
      </c>
      <c r="Z300" s="4">
        <f t="shared" si="71"/>
        <v>1</v>
      </c>
      <c r="AA300" s="11">
        <v>20</v>
      </c>
      <c r="AB300" s="50">
        <f t="shared" si="76"/>
        <v>1.0789126758805729</v>
      </c>
      <c r="AC300" s="50">
        <f t="shared" si="77"/>
        <v>1.0789126758805729</v>
      </c>
      <c r="AD300" s="51">
        <v>181</v>
      </c>
      <c r="AE300" s="38">
        <f t="shared" si="72"/>
        <v>16.454545454545453</v>
      </c>
      <c r="AF300" s="38">
        <f t="shared" si="73"/>
        <v>17.8</v>
      </c>
      <c r="AG300" s="38">
        <f t="shared" si="67"/>
        <v>1.3454545454545475</v>
      </c>
      <c r="AH300" s="38">
        <v>1.8</v>
      </c>
      <c r="AI300" s="38">
        <f t="shared" si="74"/>
        <v>19.600000000000001</v>
      </c>
      <c r="AJ300" s="38"/>
      <c r="AK300" s="38">
        <f t="shared" si="75"/>
        <v>19.600000000000001</v>
      </c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10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10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10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10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10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10"/>
      <c r="GJ300" s="9"/>
      <c r="GK300" s="9"/>
    </row>
    <row r="301" spans="1:193" s="2" customFormat="1" ht="16.95" customHeight="1">
      <c r="A301" s="53" t="s">
        <v>295</v>
      </c>
      <c r="B301" s="38">
        <v>0</v>
      </c>
      <c r="C301" s="38">
        <v>0</v>
      </c>
      <c r="D301" s="4">
        <f t="shared" si="68"/>
        <v>0</v>
      </c>
      <c r="E301" s="11">
        <v>0</v>
      </c>
      <c r="F301" s="5" t="s">
        <v>371</v>
      </c>
      <c r="G301" s="5" t="s">
        <v>371</v>
      </c>
      <c r="H301" s="5" t="s">
        <v>371</v>
      </c>
      <c r="I301" s="5" t="s">
        <v>371</v>
      </c>
      <c r="J301" s="5" t="s">
        <v>371</v>
      </c>
      <c r="K301" s="5" t="s">
        <v>371</v>
      </c>
      <c r="L301" s="5" t="s">
        <v>371</v>
      </c>
      <c r="M301" s="5" t="s">
        <v>371</v>
      </c>
      <c r="N301" s="38">
        <v>548.1</v>
      </c>
      <c r="O301" s="38">
        <v>321.39999999999998</v>
      </c>
      <c r="P301" s="4">
        <f t="shared" si="69"/>
        <v>0.58638934501003459</v>
      </c>
      <c r="Q301" s="11">
        <v>20</v>
      </c>
      <c r="R301" s="11">
        <v>1</v>
      </c>
      <c r="S301" s="11">
        <v>15</v>
      </c>
      <c r="T301" s="38">
        <v>0</v>
      </c>
      <c r="U301" s="38">
        <v>0</v>
      </c>
      <c r="V301" s="4">
        <f t="shared" si="70"/>
        <v>1</v>
      </c>
      <c r="W301" s="11">
        <v>20</v>
      </c>
      <c r="X301" s="38">
        <v>0</v>
      </c>
      <c r="Y301" s="38">
        <v>0</v>
      </c>
      <c r="Z301" s="4">
        <f t="shared" si="71"/>
        <v>1</v>
      </c>
      <c r="AA301" s="11">
        <v>30</v>
      </c>
      <c r="AB301" s="50">
        <f t="shared" si="76"/>
        <v>0.90267984588471406</v>
      </c>
      <c r="AC301" s="50">
        <f t="shared" si="77"/>
        <v>0.90267984588471406</v>
      </c>
      <c r="AD301" s="51">
        <v>42</v>
      </c>
      <c r="AE301" s="38">
        <f t="shared" si="72"/>
        <v>3.8181818181818183</v>
      </c>
      <c r="AF301" s="38">
        <f t="shared" si="73"/>
        <v>3.4</v>
      </c>
      <c r="AG301" s="38">
        <f t="shared" si="67"/>
        <v>-0.41818181818181843</v>
      </c>
      <c r="AH301" s="38">
        <v>0.2</v>
      </c>
      <c r="AI301" s="38">
        <f t="shared" si="74"/>
        <v>3.6</v>
      </c>
      <c r="AJ301" s="38"/>
      <c r="AK301" s="38">
        <f t="shared" si="75"/>
        <v>3.6</v>
      </c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10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10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10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10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10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10"/>
      <c r="GJ301" s="9"/>
      <c r="GK301" s="9"/>
    </row>
    <row r="302" spans="1:193" s="2" customFormat="1" ht="16.95" customHeight="1">
      <c r="A302" s="53" t="s">
        <v>296</v>
      </c>
      <c r="B302" s="38">
        <v>2700</v>
      </c>
      <c r="C302" s="38">
        <v>3923.6</v>
      </c>
      <c r="D302" s="4">
        <f t="shared" si="68"/>
        <v>1.4531851851851851</v>
      </c>
      <c r="E302" s="11">
        <v>10</v>
      </c>
      <c r="F302" s="5" t="s">
        <v>371</v>
      </c>
      <c r="G302" s="5" t="s">
        <v>371</v>
      </c>
      <c r="H302" s="5" t="s">
        <v>371</v>
      </c>
      <c r="I302" s="5" t="s">
        <v>371</v>
      </c>
      <c r="J302" s="5" t="s">
        <v>371</v>
      </c>
      <c r="K302" s="5" t="s">
        <v>371</v>
      </c>
      <c r="L302" s="5" t="s">
        <v>371</v>
      </c>
      <c r="M302" s="5" t="s">
        <v>371</v>
      </c>
      <c r="N302" s="38">
        <v>671.3</v>
      </c>
      <c r="O302" s="38">
        <v>1289.8</v>
      </c>
      <c r="P302" s="4">
        <f t="shared" si="69"/>
        <v>1.9213466408461195</v>
      </c>
      <c r="Q302" s="11">
        <v>20</v>
      </c>
      <c r="R302" s="11">
        <v>1</v>
      </c>
      <c r="S302" s="11">
        <v>15</v>
      </c>
      <c r="T302" s="38">
        <v>0</v>
      </c>
      <c r="U302" s="38">
        <v>0</v>
      </c>
      <c r="V302" s="4">
        <f t="shared" si="70"/>
        <v>1</v>
      </c>
      <c r="W302" s="11">
        <v>20</v>
      </c>
      <c r="X302" s="38">
        <v>0</v>
      </c>
      <c r="Y302" s="38">
        <v>0</v>
      </c>
      <c r="Z302" s="4">
        <f t="shared" si="71"/>
        <v>1</v>
      </c>
      <c r="AA302" s="11">
        <v>30</v>
      </c>
      <c r="AB302" s="50">
        <f t="shared" si="76"/>
        <v>1.2416714175660446</v>
      </c>
      <c r="AC302" s="50">
        <f t="shared" si="77"/>
        <v>1.2041671417566044</v>
      </c>
      <c r="AD302" s="51">
        <v>144</v>
      </c>
      <c r="AE302" s="38">
        <f t="shared" si="72"/>
        <v>13.090909090909092</v>
      </c>
      <c r="AF302" s="38">
        <f t="shared" si="73"/>
        <v>15.8</v>
      </c>
      <c r="AG302" s="38">
        <f t="shared" ref="AG302:AG365" si="78">AF302-AE302</f>
        <v>2.709090909090909</v>
      </c>
      <c r="AH302" s="38">
        <v>1.8</v>
      </c>
      <c r="AI302" s="38">
        <f t="shared" si="74"/>
        <v>17.600000000000001</v>
      </c>
      <c r="AJ302" s="38"/>
      <c r="AK302" s="38">
        <f t="shared" si="75"/>
        <v>17.600000000000001</v>
      </c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10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10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10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10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10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10"/>
      <c r="GJ302" s="9"/>
      <c r="GK302" s="9"/>
    </row>
    <row r="303" spans="1:193" s="2" customFormat="1" ht="16.95" customHeight="1">
      <c r="A303" s="53" t="s">
        <v>297</v>
      </c>
      <c r="B303" s="38">
        <v>120000</v>
      </c>
      <c r="C303" s="38">
        <v>116323</v>
      </c>
      <c r="D303" s="4">
        <f t="shared" ref="D303:D366" si="79">IF(E303=0,0,IF(B303=0,1,IF(C303&lt;0,0,C303/B303)))</f>
        <v>0.96935833333333332</v>
      </c>
      <c r="E303" s="11">
        <v>10</v>
      </c>
      <c r="F303" s="5" t="s">
        <v>371</v>
      </c>
      <c r="G303" s="5" t="s">
        <v>371</v>
      </c>
      <c r="H303" s="5" t="s">
        <v>371</v>
      </c>
      <c r="I303" s="5" t="s">
        <v>371</v>
      </c>
      <c r="J303" s="5" t="s">
        <v>371</v>
      </c>
      <c r="K303" s="5" t="s">
        <v>371</v>
      </c>
      <c r="L303" s="5" t="s">
        <v>371</v>
      </c>
      <c r="M303" s="5" t="s">
        <v>371</v>
      </c>
      <c r="N303" s="38">
        <v>6194</v>
      </c>
      <c r="O303" s="38">
        <v>3004.5</v>
      </c>
      <c r="P303" s="4">
        <f t="shared" ref="P303:P366" si="80">IF(Q303=0,0,IF(N303=0,1,IF(O303&lt;0,0,O303/N303)))</f>
        <v>0.48506619309008719</v>
      </c>
      <c r="Q303" s="11">
        <v>20</v>
      </c>
      <c r="R303" s="11">
        <v>1</v>
      </c>
      <c r="S303" s="11">
        <v>15</v>
      </c>
      <c r="T303" s="38">
        <v>63</v>
      </c>
      <c r="U303" s="38">
        <v>14.7</v>
      </c>
      <c r="V303" s="4">
        <f t="shared" ref="V303:V366" si="81">IF(W303=0,0,IF(T303=0,1,IF(U303&lt;0,0,U303/T303)))</f>
        <v>0.23333333333333331</v>
      </c>
      <c r="W303" s="11">
        <v>40</v>
      </c>
      <c r="X303" s="38">
        <v>0</v>
      </c>
      <c r="Y303" s="38">
        <v>0</v>
      </c>
      <c r="Z303" s="4">
        <f t="shared" ref="Z303:Z366" si="82">IF(AA303=0,0,IF(X303=0,1,IF(Y303&lt;0,0,Y303/X303)))</f>
        <v>1</v>
      </c>
      <c r="AA303" s="11">
        <v>10</v>
      </c>
      <c r="AB303" s="50">
        <f t="shared" si="76"/>
        <v>0.56556042661545691</v>
      </c>
      <c r="AC303" s="50">
        <f t="shared" si="77"/>
        <v>0.56556042661545691</v>
      </c>
      <c r="AD303" s="51">
        <v>24</v>
      </c>
      <c r="AE303" s="38">
        <f t="shared" ref="AE303:AE366" si="83">AD303/11</f>
        <v>2.1818181818181817</v>
      </c>
      <c r="AF303" s="38">
        <f t="shared" ref="AF303:AF366" si="84">ROUND(AC303*AE303,1)</f>
        <v>1.2</v>
      </c>
      <c r="AG303" s="38">
        <f t="shared" si="78"/>
        <v>-0.9818181818181817</v>
      </c>
      <c r="AH303" s="38">
        <v>0.6</v>
      </c>
      <c r="AI303" s="38">
        <f t="shared" ref="AI303:AI366" si="85">AF303+AH303</f>
        <v>1.7999999999999998</v>
      </c>
      <c r="AJ303" s="38">
        <f>MIN($AI303,59)</f>
        <v>1.7999999999999998</v>
      </c>
      <c r="AK303" s="38">
        <f t="shared" ref="AK303:AK366" si="86">IF((AI303-AJ303)&gt;0,ROUND(AI303-AJ303,1),0)</f>
        <v>0</v>
      </c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10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10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10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10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10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10"/>
      <c r="GJ303" s="9"/>
      <c r="GK303" s="9"/>
    </row>
    <row r="304" spans="1:193" s="2" customFormat="1" ht="16.95" customHeight="1">
      <c r="A304" s="53" t="s">
        <v>298</v>
      </c>
      <c r="B304" s="38">
        <v>1699</v>
      </c>
      <c r="C304" s="38">
        <v>3094.9</v>
      </c>
      <c r="D304" s="4">
        <f t="shared" si="79"/>
        <v>1.8216009417304297</v>
      </c>
      <c r="E304" s="11">
        <v>10</v>
      </c>
      <c r="F304" s="5" t="s">
        <v>371</v>
      </c>
      <c r="G304" s="5" t="s">
        <v>371</v>
      </c>
      <c r="H304" s="5" t="s">
        <v>371</v>
      </c>
      <c r="I304" s="5" t="s">
        <v>371</v>
      </c>
      <c r="J304" s="5" t="s">
        <v>371</v>
      </c>
      <c r="K304" s="5" t="s">
        <v>371</v>
      </c>
      <c r="L304" s="5" t="s">
        <v>371</v>
      </c>
      <c r="M304" s="5" t="s">
        <v>371</v>
      </c>
      <c r="N304" s="38">
        <v>3338.7</v>
      </c>
      <c r="O304" s="38">
        <v>5312.4</v>
      </c>
      <c r="P304" s="4">
        <f t="shared" si="80"/>
        <v>1.5911582352412617</v>
      </c>
      <c r="Q304" s="11">
        <v>20</v>
      </c>
      <c r="R304" s="11">
        <v>1</v>
      </c>
      <c r="S304" s="11">
        <v>15</v>
      </c>
      <c r="T304" s="38">
        <v>0</v>
      </c>
      <c r="U304" s="38">
        <v>0</v>
      </c>
      <c r="V304" s="4">
        <f t="shared" si="81"/>
        <v>1</v>
      </c>
      <c r="W304" s="11">
        <v>10</v>
      </c>
      <c r="X304" s="38">
        <v>0</v>
      </c>
      <c r="Y304" s="38">
        <v>0</v>
      </c>
      <c r="Z304" s="4">
        <f t="shared" si="82"/>
        <v>1</v>
      </c>
      <c r="AA304" s="11">
        <v>40</v>
      </c>
      <c r="AB304" s="50">
        <f t="shared" ref="AB304:AB367" si="87">(D304*E304+P304*Q304+R304*S304+V304*W304+Z304*AA304)/(E304+Q304+S304+W304+AA304)</f>
        <v>1.2109386749697846</v>
      </c>
      <c r="AC304" s="50">
        <f t="shared" ref="AC304:AC367" si="88">IF(AB304&gt;1.2,IF((AB304-1.2)*0.1+1.2&gt;1.3,1.3,(AB304-1.2)*0.1+1.2),AB304)</f>
        <v>1.2010938674969784</v>
      </c>
      <c r="AD304" s="51">
        <v>13</v>
      </c>
      <c r="AE304" s="38">
        <f t="shared" si="83"/>
        <v>1.1818181818181819</v>
      </c>
      <c r="AF304" s="38">
        <f t="shared" si="84"/>
        <v>1.4</v>
      </c>
      <c r="AG304" s="38">
        <f t="shared" si="78"/>
        <v>0.21818181818181803</v>
      </c>
      <c r="AH304" s="38">
        <v>0.1</v>
      </c>
      <c r="AI304" s="38">
        <f t="shared" si="85"/>
        <v>1.5</v>
      </c>
      <c r="AJ304" s="38">
        <f>MIN($AI304,60.8)</f>
        <v>1.5</v>
      </c>
      <c r="AK304" s="38">
        <f t="shared" si="86"/>
        <v>0</v>
      </c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10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10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10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10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10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10"/>
      <c r="GJ304" s="9"/>
      <c r="GK304" s="9"/>
    </row>
    <row r="305" spans="1:193" s="2" customFormat="1" ht="16.95" customHeight="1">
      <c r="A305" s="53" t="s">
        <v>299</v>
      </c>
      <c r="B305" s="38">
        <v>0</v>
      </c>
      <c r="C305" s="38">
        <v>0</v>
      </c>
      <c r="D305" s="4">
        <f t="shared" si="79"/>
        <v>0</v>
      </c>
      <c r="E305" s="11">
        <v>0</v>
      </c>
      <c r="F305" s="5" t="s">
        <v>371</v>
      </c>
      <c r="G305" s="5" t="s">
        <v>371</v>
      </c>
      <c r="H305" s="5" t="s">
        <v>371</v>
      </c>
      <c r="I305" s="5" t="s">
        <v>371</v>
      </c>
      <c r="J305" s="5" t="s">
        <v>371</v>
      </c>
      <c r="K305" s="5" t="s">
        <v>371</v>
      </c>
      <c r="L305" s="5" t="s">
        <v>371</v>
      </c>
      <c r="M305" s="5" t="s">
        <v>371</v>
      </c>
      <c r="N305" s="38">
        <v>136.6</v>
      </c>
      <c r="O305" s="38">
        <v>214.4</v>
      </c>
      <c r="P305" s="4">
        <f t="shared" si="80"/>
        <v>1.5695461200585652</v>
      </c>
      <c r="Q305" s="11">
        <v>20</v>
      </c>
      <c r="R305" s="11">
        <v>1</v>
      </c>
      <c r="S305" s="11">
        <v>15</v>
      </c>
      <c r="T305" s="38">
        <v>0</v>
      </c>
      <c r="U305" s="38">
        <v>0</v>
      </c>
      <c r="V305" s="4">
        <f t="shared" si="81"/>
        <v>1</v>
      </c>
      <c r="W305" s="11">
        <v>30</v>
      </c>
      <c r="X305" s="38">
        <v>0</v>
      </c>
      <c r="Y305" s="38">
        <v>0</v>
      </c>
      <c r="Z305" s="4">
        <f t="shared" si="82"/>
        <v>1</v>
      </c>
      <c r="AA305" s="11">
        <v>20</v>
      </c>
      <c r="AB305" s="50">
        <f t="shared" si="87"/>
        <v>1.1340108517784859</v>
      </c>
      <c r="AC305" s="50">
        <f t="shared" si="88"/>
        <v>1.1340108517784859</v>
      </c>
      <c r="AD305" s="51">
        <v>81</v>
      </c>
      <c r="AE305" s="38">
        <f t="shared" si="83"/>
        <v>7.3636363636363633</v>
      </c>
      <c r="AF305" s="38">
        <f t="shared" si="84"/>
        <v>8.4</v>
      </c>
      <c r="AG305" s="38">
        <f t="shared" si="78"/>
        <v>1.036363636363637</v>
      </c>
      <c r="AH305" s="38">
        <v>0.6</v>
      </c>
      <c r="AI305" s="38">
        <f t="shared" si="85"/>
        <v>9</v>
      </c>
      <c r="AJ305" s="38"/>
      <c r="AK305" s="38">
        <f t="shared" si="86"/>
        <v>9</v>
      </c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10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10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10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10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10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10"/>
      <c r="GJ305" s="9"/>
      <c r="GK305" s="9"/>
    </row>
    <row r="306" spans="1:193" s="2" customFormat="1" ht="16.95" customHeight="1">
      <c r="A306" s="53" t="s">
        <v>300</v>
      </c>
      <c r="B306" s="38">
        <v>450</v>
      </c>
      <c r="C306" s="38">
        <v>649.6</v>
      </c>
      <c r="D306" s="4">
        <f t="shared" si="79"/>
        <v>1.4435555555555557</v>
      </c>
      <c r="E306" s="11">
        <v>10</v>
      </c>
      <c r="F306" s="5" t="s">
        <v>371</v>
      </c>
      <c r="G306" s="5" t="s">
        <v>371</v>
      </c>
      <c r="H306" s="5" t="s">
        <v>371</v>
      </c>
      <c r="I306" s="5" t="s">
        <v>371</v>
      </c>
      <c r="J306" s="5" t="s">
        <v>371</v>
      </c>
      <c r="K306" s="5" t="s">
        <v>371</v>
      </c>
      <c r="L306" s="5" t="s">
        <v>371</v>
      </c>
      <c r="M306" s="5" t="s">
        <v>371</v>
      </c>
      <c r="N306" s="38">
        <v>405.9</v>
      </c>
      <c r="O306" s="38">
        <v>255.9</v>
      </c>
      <c r="P306" s="4">
        <f t="shared" si="80"/>
        <v>0.63045084996304512</v>
      </c>
      <c r="Q306" s="11">
        <v>20</v>
      </c>
      <c r="R306" s="11">
        <v>1</v>
      </c>
      <c r="S306" s="11">
        <v>15</v>
      </c>
      <c r="T306" s="38">
        <v>0</v>
      </c>
      <c r="U306" s="38">
        <v>0</v>
      </c>
      <c r="V306" s="4">
        <f t="shared" si="81"/>
        <v>1</v>
      </c>
      <c r="W306" s="11">
        <v>35</v>
      </c>
      <c r="X306" s="38">
        <v>0</v>
      </c>
      <c r="Y306" s="38">
        <v>0</v>
      </c>
      <c r="Z306" s="4">
        <f t="shared" si="82"/>
        <v>1</v>
      </c>
      <c r="AA306" s="11">
        <v>15</v>
      </c>
      <c r="AB306" s="50">
        <f t="shared" si="87"/>
        <v>0.96889023741912061</v>
      </c>
      <c r="AC306" s="50">
        <f t="shared" si="88"/>
        <v>0.96889023741912061</v>
      </c>
      <c r="AD306" s="51">
        <v>109</v>
      </c>
      <c r="AE306" s="38">
        <f t="shared" si="83"/>
        <v>9.9090909090909083</v>
      </c>
      <c r="AF306" s="38">
        <f t="shared" si="84"/>
        <v>9.6</v>
      </c>
      <c r="AG306" s="38">
        <f t="shared" si="78"/>
        <v>-0.30909090909090864</v>
      </c>
      <c r="AH306" s="38">
        <v>6.2</v>
      </c>
      <c r="AI306" s="38">
        <f t="shared" si="85"/>
        <v>15.8</v>
      </c>
      <c r="AJ306" s="38"/>
      <c r="AK306" s="38">
        <f t="shared" si="86"/>
        <v>15.8</v>
      </c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10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10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10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10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10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10"/>
      <c r="GJ306" s="9"/>
      <c r="GK306" s="9"/>
    </row>
    <row r="307" spans="1:193" s="2" customFormat="1" ht="16.95" customHeight="1">
      <c r="A307" s="53" t="s">
        <v>301</v>
      </c>
      <c r="B307" s="38">
        <v>7000</v>
      </c>
      <c r="C307" s="38">
        <v>4607.5</v>
      </c>
      <c r="D307" s="4">
        <f t="shared" si="79"/>
        <v>0.65821428571428575</v>
      </c>
      <c r="E307" s="11">
        <v>10</v>
      </c>
      <c r="F307" s="5" t="s">
        <v>371</v>
      </c>
      <c r="G307" s="5" t="s">
        <v>371</v>
      </c>
      <c r="H307" s="5" t="s">
        <v>371</v>
      </c>
      <c r="I307" s="5" t="s">
        <v>371</v>
      </c>
      <c r="J307" s="5" t="s">
        <v>371</v>
      </c>
      <c r="K307" s="5" t="s">
        <v>371</v>
      </c>
      <c r="L307" s="5" t="s">
        <v>371</v>
      </c>
      <c r="M307" s="5" t="s">
        <v>371</v>
      </c>
      <c r="N307" s="38">
        <v>440.7</v>
      </c>
      <c r="O307" s="38">
        <v>266.3</v>
      </c>
      <c r="P307" s="4">
        <f t="shared" si="80"/>
        <v>0.60426594054912641</v>
      </c>
      <c r="Q307" s="11">
        <v>20</v>
      </c>
      <c r="R307" s="11">
        <v>1</v>
      </c>
      <c r="S307" s="11">
        <v>15</v>
      </c>
      <c r="T307" s="38">
        <v>0</v>
      </c>
      <c r="U307" s="38">
        <v>0</v>
      </c>
      <c r="V307" s="4">
        <f t="shared" si="81"/>
        <v>1</v>
      </c>
      <c r="W307" s="11">
        <v>20</v>
      </c>
      <c r="X307" s="38">
        <v>0</v>
      </c>
      <c r="Y307" s="38">
        <v>0</v>
      </c>
      <c r="Z307" s="4">
        <f t="shared" si="82"/>
        <v>1</v>
      </c>
      <c r="AA307" s="11">
        <v>30</v>
      </c>
      <c r="AB307" s="50">
        <f t="shared" si="87"/>
        <v>0.88071012282237249</v>
      </c>
      <c r="AC307" s="50">
        <f t="shared" si="88"/>
        <v>0.88071012282237249</v>
      </c>
      <c r="AD307" s="51">
        <v>100</v>
      </c>
      <c r="AE307" s="38">
        <f t="shared" si="83"/>
        <v>9.0909090909090917</v>
      </c>
      <c r="AF307" s="38">
        <f t="shared" si="84"/>
        <v>8</v>
      </c>
      <c r="AG307" s="38">
        <f t="shared" si="78"/>
        <v>-1.0909090909090917</v>
      </c>
      <c r="AH307" s="38">
        <v>1</v>
      </c>
      <c r="AI307" s="38">
        <f t="shared" si="85"/>
        <v>9</v>
      </c>
      <c r="AJ307" s="38">
        <f>MIN($AI307,70.7)</f>
        <v>9</v>
      </c>
      <c r="AK307" s="38">
        <f t="shared" si="86"/>
        <v>0</v>
      </c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10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10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10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10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10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10"/>
      <c r="GJ307" s="9"/>
      <c r="GK307" s="9"/>
    </row>
    <row r="308" spans="1:193" s="2" customFormat="1" ht="16.95" customHeight="1">
      <c r="A308" s="53" t="s">
        <v>302</v>
      </c>
      <c r="B308" s="38">
        <v>84755</v>
      </c>
      <c r="C308" s="38">
        <v>75141.8</v>
      </c>
      <c r="D308" s="4">
        <f t="shared" si="79"/>
        <v>0.88657660315025666</v>
      </c>
      <c r="E308" s="11">
        <v>10</v>
      </c>
      <c r="F308" s="5" t="s">
        <v>371</v>
      </c>
      <c r="G308" s="5" t="s">
        <v>371</v>
      </c>
      <c r="H308" s="5" t="s">
        <v>371</v>
      </c>
      <c r="I308" s="5" t="s">
        <v>371</v>
      </c>
      <c r="J308" s="5" t="s">
        <v>371</v>
      </c>
      <c r="K308" s="5" t="s">
        <v>371</v>
      </c>
      <c r="L308" s="5" t="s">
        <v>371</v>
      </c>
      <c r="M308" s="5" t="s">
        <v>371</v>
      </c>
      <c r="N308" s="38">
        <v>4960.6000000000004</v>
      </c>
      <c r="O308" s="38">
        <v>2853</v>
      </c>
      <c r="P308" s="4">
        <f t="shared" si="80"/>
        <v>0.57513204047897426</v>
      </c>
      <c r="Q308" s="11">
        <v>20</v>
      </c>
      <c r="R308" s="11">
        <v>1</v>
      </c>
      <c r="S308" s="11">
        <v>15</v>
      </c>
      <c r="T308" s="38">
        <v>230</v>
      </c>
      <c r="U308" s="38">
        <v>0</v>
      </c>
      <c r="V308" s="4">
        <f t="shared" si="81"/>
        <v>0</v>
      </c>
      <c r="W308" s="11">
        <v>40</v>
      </c>
      <c r="X308" s="38">
        <v>0</v>
      </c>
      <c r="Y308" s="38">
        <v>0</v>
      </c>
      <c r="Z308" s="4">
        <f t="shared" si="82"/>
        <v>1</v>
      </c>
      <c r="AA308" s="11">
        <v>10</v>
      </c>
      <c r="AB308" s="50">
        <f t="shared" si="87"/>
        <v>0.47756217727454786</v>
      </c>
      <c r="AC308" s="50">
        <f t="shared" si="88"/>
        <v>0.47756217727454786</v>
      </c>
      <c r="AD308" s="51">
        <v>65</v>
      </c>
      <c r="AE308" s="38">
        <f t="shared" si="83"/>
        <v>5.9090909090909092</v>
      </c>
      <c r="AF308" s="38">
        <f t="shared" si="84"/>
        <v>2.8</v>
      </c>
      <c r="AG308" s="38">
        <f t="shared" si="78"/>
        <v>-3.1090909090909093</v>
      </c>
      <c r="AH308" s="38">
        <v>0</v>
      </c>
      <c r="AI308" s="38">
        <f t="shared" si="85"/>
        <v>2.8</v>
      </c>
      <c r="AJ308" s="38">
        <f>MIN($AI308,73.3)</f>
        <v>2.8</v>
      </c>
      <c r="AK308" s="38">
        <f t="shared" si="86"/>
        <v>0</v>
      </c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10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10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10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10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10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10"/>
      <c r="GJ308" s="9"/>
      <c r="GK308" s="9"/>
    </row>
    <row r="309" spans="1:193" s="2" customFormat="1" ht="16.95" customHeight="1">
      <c r="A309" s="53" t="s">
        <v>303</v>
      </c>
      <c r="B309" s="38">
        <v>11028</v>
      </c>
      <c r="C309" s="38">
        <v>8324</v>
      </c>
      <c r="D309" s="4">
        <f t="shared" si="79"/>
        <v>0.7548059484947407</v>
      </c>
      <c r="E309" s="11">
        <v>10</v>
      </c>
      <c r="F309" s="5" t="s">
        <v>371</v>
      </c>
      <c r="G309" s="5" t="s">
        <v>371</v>
      </c>
      <c r="H309" s="5" t="s">
        <v>371</v>
      </c>
      <c r="I309" s="5" t="s">
        <v>371</v>
      </c>
      <c r="J309" s="5" t="s">
        <v>371</v>
      </c>
      <c r="K309" s="5" t="s">
        <v>371</v>
      </c>
      <c r="L309" s="5" t="s">
        <v>371</v>
      </c>
      <c r="M309" s="5" t="s">
        <v>371</v>
      </c>
      <c r="N309" s="38">
        <v>722.3</v>
      </c>
      <c r="O309" s="38">
        <v>662.7</v>
      </c>
      <c r="P309" s="4">
        <f t="shared" si="80"/>
        <v>0.91748580922054557</v>
      </c>
      <c r="Q309" s="11">
        <v>20</v>
      </c>
      <c r="R309" s="11">
        <v>1</v>
      </c>
      <c r="S309" s="11">
        <v>15</v>
      </c>
      <c r="T309" s="38">
        <v>94</v>
      </c>
      <c r="U309" s="38">
        <v>128</v>
      </c>
      <c r="V309" s="4">
        <f t="shared" si="81"/>
        <v>1.3617021276595744</v>
      </c>
      <c r="W309" s="11">
        <v>30</v>
      </c>
      <c r="X309" s="38">
        <v>0</v>
      </c>
      <c r="Y309" s="38">
        <v>0</v>
      </c>
      <c r="Z309" s="4">
        <f t="shared" si="82"/>
        <v>1</v>
      </c>
      <c r="AA309" s="11">
        <v>20</v>
      </c>
      <c r="AB309" s="50">
        <f t="shared" si="87"/>
        <v>1.0710404157804796</v>
      </c>
      <c r="AC309" s="50">
        <f t="shared" si="88"/>
        <v>1.0710404157804796</v>
      </c>
      <c r="AD309" s="51">
        <v>114</v>
      </c>
      <c r="AE309" s="38">
        <f t="shared" si="83"/>
        <v>10.363636363636363</v>
      </c>
      <c r="AF309" s="38">
        <f t="shared" si="84"/>
        <v>11.1</v>
      </c>
      <c r="AG309" s="38">
        <f t="shared" si="78"/>
        <v>0.73636363636363633</v>
      </c>
      <c r="AH309" s="38">
        <v>-0.8</v>
      </c>
      <c r="AI309" s="38">
        <f t="shared" si="85"/>
        <v>10.299999999999999</v>
      </c>
      <c r="AJ309" s="38"/>
      <c r="AK309" s="38">
        <f t="shared" si="86"/>
        <v>10.3</v>
      </c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10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10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10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10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10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10"/>
      <c r="GJ309" s="9"/>
      <c r="GK309" s="9"/>
    </row>
    <row r="310" spans="1:193" s="2" customFormat="1" ht="16.95" customHeight="1">
      <c r="A310" s="53" t="s">
        <v>304</v>
      </c>
      <c r="B310" s="38">
        <v>10365</v>
      </c>
      <c r="C310" s="38">
        <v>12488.3</v>
      </c>
      <c r="D310" s="4">
        <f t="shared" si="79"/>
        <v>1.2048528702363723</v>
      </c>
      <c r="E310" s="11">
        <v>10</v>
      </c>
      <c r="F310" s="5" t="s">
        <v>371</v>
      </c>
      <c r="G310" s="5" t="s">
        <v>371</v>
      </c>
      <c r="H310" s="5" t="s">
        <v>371</v>
      </c>
      <c r="I310" s="5" t="s">
        <v>371</v>
      </c>
      <c r="J310" s="5" t="s">
        <v>371</v>
      </c>
      <c r="K310" s="5" t="s">
        <v>371</v>
      </c>
      <c r="L310" s="5" t="s">
        <v>371</v>
      </c>
      <c r="M310" s="5" t="s">
        <v>371</v>
      </c>
      <c r="N310" s="38">
        <v>894.1</v>
      </c>
      <c r="O310" s="38">
        <v>517.5</v>
      </c>
      <c r="P310" s="4">
        <f t="shared" si="80"/>
        <v>0.57879431830891392</v>
      </c>
      <c r="Q310" s="11">
        <v>20</v>
      </c>
      <c r="R310" s="11">
        <v>1</v>
      </c>
      <c r="S310" s="11">
        <v>15</v>
      </c>
      <c r="T310" s="38">
        <v>90</v>
      </c>
      <c r="U310" s="38">
        <v>153.19999999999999</v>
      </c>
      <c r="V310" s="4">
        <f t="shared" si="81"/>
        <v>1.7022222222222221</v>
      </c>
      <c r="W310" s="11">
        <v>30</v>
      </c>
      <c r="X310" s="38">
        <v>0</v>
      </c>
      <c r="Y310" s="38">
        <v>0</v>
      </c>
      <c r="Z310" s="4">
        <f t="shared" si="82"/>
        <v>1</v>
      </c>
      <c r="AA310" s="11">
        <v>20</v>
      </c>
      <c r="AB310" s="50">
        <f t="shared" si="87"/>
        <v>1.1546429656337753</v>
      </c>
      <c r="AC310" s="50">
        <f t="shared" si="88"/>
        <v>1.1546429656337753</v>
      </c>
      <c r="AD310" s="51">
        <v>795</v>
      </c>
      <c r="AE310" s="38">
        <f t="shared" si="83"/>
        <v>72.272727272727266</v>
      </c>
      <c r="AF310" s="38">
        <f t="shared" si="84"/>
        <v>83.4</v>
      </c>
      <c r="AG310" s="38">
        <f t="shared" si="78"/>
        <v>11.127272727272739</v>
      </c>
      <c r="AH310" s="38">
        <v>11.5</v>
      </c>
      <c r="AI310" s="38">
        <f t="shared" si="85"/>
        <v>94.9</v>
      </c>
      <c r="AJ310" s="38"/>
      <c r="AK310" s="38">
        <f t="shared" si="86"/>
        <v>94.9</v>
      </c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10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10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10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10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10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10"/>
      <c r="GJ310" s="9"/>
      <c r="GK310" s="9"/>
    </row>
    <row r="311" spans="1:193" s="2" customFormat="1" ht="16.95" customHeight="1">
      <c r="A311" s="53" t="s">
        <v>305</v>
      </c>
      <c r="B311" s="38">
        <v>63500</v>
      </c>
      <c r="C311" s="38">
        <v>62203.4</v>
      </c>
      <c r="D311" s="4">
        <f t="shared" si="79"/>
        <v>0.97958110236220475</v>
      </c>
      <c r="E311" s="11">
        <v>10</v>
      </c>
      <c r="F311" s="5" t="s">
        <v>371</v>
      </c>
      <c r="G311" s="5" t="s">
        <v>371</v>
      </c>
      <c r="H311" s="5" t="s">
        <v>371</v>
      </c>
      <c r="I311" s="5" t="s">
        <v>371</v>
      </c>
      <c r="J311" s="5" t="s">
        <v>371</v>
      </c>
      <c r="K311" s="5" t="s">
        <v>371</v>
      </c>
      <c r="L311" s="5" t="s">
        <v>371</v>
      </c>
      <c r="M311" s="5" t="s">
        <v>371</v>
      </c>
      <c r="N311" s="38">
        <v>3863.6</v>
      </c>
      <c r="O311" s="38">
        <v>2765</v>
      </c>
      <c r="P311" s="4">
        <f t="shared" si="80"/>
        <v>0.71565379438865306</v>
      </c>
      <c r="Q311" s="11">
        <v>20</v>
      </c>
      <c r="R311" s="11">
        <v>1</v>
      </c>
      <c r="S311" s="11">
        <v>15</v>
      </c>
      <c r="T311" s="38">
        <v>16</v>
      </c>
      <c r="U311" s="38">
        <v>18.100000000000001</v>
      </c>
      <c r="V311" s="4">
        <f t="shared" si="81"/>
        <v>1.1312500000000001</v>
      </c>
      <c r="W311" s="11">
        <v>35</v>
      </c>
      <c r="X311" s="38">
        <v>0</v>
      </c>
      <c r="Y311" s="38">
        <v>0</v>
      </c>
      <c r="Z311" s="4">
        <f t="shared" si="82"/>
        <v>1</v>
      </c>
      <c r="AA311" s="11">
        <v>15</v>
      </c>
      <c r="AB311" s="50">
        <f t="shared" si="87"/>
        <v>0.98634354643573796</v>
      </c>
      <c r="AC311" s="50">
        <f t="shared" si="88"/>
        <v>0.98634354643573796</v>
      </c>
      <c r="AD311" s="51">
        <v>48</v>
      </c>
      <c r="AE311" s="38">
        <f t="shared" si="83"/>
        <v>4.3636363636363633</v>
      </c>
      <c r="AF311" s="38">
        <f t="shared" si="84"/>
        <v>4.3</v>
      </c>
      <c r="AG311" s="38">
        <f t="shared" si="78"/>
        <v>-6.3636363636363491E-2</v>
      </c>
      <c r="AH311" s="38">
        <v>1.2</v>
      </c>
      <c r="AI311" s="38">
        <f t="shared" si="85"/>
        <v>5.5</v>
      </c>
      <c r="AJ311" s="38">
        <f>MIN($AI311,171.2)</f>
        <v>5.5</v>
      </c>
      <c r="AK311" s="38">
        <f t="shared" si="86"/>
        <v>0</v>
      </c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10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10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10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10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10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10"/>
      <c r="GJ311" s="9"/>
      <c r="GK311" s="9"/>
    </row>
    <row r="312" spans="1:193" s="2" customFormat="1" ht="16.95" customHeight="1">
      <c r="A312" s="19" t="s">
        <v>306</v>
      </c>
      <c r="B312" s="7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10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10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10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10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10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10"/>
      <c r="GJ312" s="9"/>
      <c r="GK312" s="9"/>
    </row>
    <row r="313" spans="1:193" s="2" customFormat="1" ht="16.95" customHeight="1">
      <c r="A313" s="53" t="s">
        <v>307</v>
      </c>
      <c r="B313" s="38">
        <v>1279</v>
      </c>
      <c r="C313" s="38">
        <v>1278</v>
      </c>
      <c r="D313" s="4">
        <f t="shared" si="79"/>
        <v>0.99921813917122748</v>
      </c>
      <c r="E313" s="11">
        <v>10</v>
      </c>
      <c r="F313" s="5" t="s">
        <v>371</v>
      </c>
      <c r="G313" s="5" t="s">
        <v>371</v>
      </c>
      <c r="H313" s="5" t="s">
        <v>371</v>
      </c>
      <c r="I313" s="5" t="s">
        <v>371</v>
      </c>
      <c r="J313" s="5" t="s">
        <v>371</v>
      </c>
      <c r="K313" s="5" t="s">
        <v>371</v>
      </c>
      <c r="L313" s="5" t="s">
        <v>371</v>
      </c>
      <c r="M313" s="5" t="s">
        <v>371</v>
      </c>
      <c r="N313" s="38">
        <v>803.6</v>
      </c>
      <c r="O313" s="38">
        <v>1643.7</v>
      </c>
      <c r="P313" s="4">
        <f t="shared" si="80"/>
        <v>2.0454206072672974</v>
      </c>
      <c r="Q313" s="11">
        <v>20</v>
      </c>
      <c r="R313" s="11">
        <v>1</v>
      </c>
      <c r="S313" s="11">
        <v>15</v>
      </c>
      <c r="T313" s="38">
        <v>0</v>
      </c>
      <c r="U313" s="38">
        <v>0</v>
      </c>
      <c r="V313" s="4">
        <f t="shared" si="81"/>
        <v>1</v>
      </c>
      <c r="W313" s="11">
        <v>20</v>
      </c>
      <c r="X313" s="38">
        <v>0</v>
      </c>
      <c r="Y313" s="38">
        <v>0</v>
      </c>
      <c r="Z313" s="4">
        <f t="shared" si="82"/>
        <v>1</v>
      </c>
      <c r="AA313" s="11">
        <v>30</v>
      </c>
      <c r="AB313" s="50">
        <f t="shared" si="87"/>
        <v>1.2200062477585076</v>
      </c>
      <c r="AC313" s="50">
        <f t="shared" si="88"/>
        <v>1.2020006247758508</v>
      </c>
      <c r="AD313" s="51">
        <v>305</v>
      </c>
      <c r="AE313" s="38">
        <f t="shared" si="83"/>
        <v>27.727272727272727</v>
      </c>
      <c r="AF313" s="38">
        <f t="shared" si="84"/>
        <v>33.299999999999997</v>
      </c>
      <c r="AG313" s="38">
        <f t="shared" si="78"/>
        <v>5.5727272727272705</v>
      </c>
      <c r="AH313" s="38">
        <v>0.6</v>
      </c>
      <c r="AI313" s="38">
        <f t="shared" si="85"/>
        <v>33.9</v>
      </c>
      <c r="AJ313" s="38"/>
      <c r="AK313" s="38">
        <f t="shared" si="86"/>
        <v>33.9</v>
      </c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10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10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10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10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10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10"/>
      <c r="GJ313" s="9"/>
      <c r="GK313" s="9"/>
    </row>
    <row r="314" spans="1:193" s="2" customFormat="1" ht="16.95" customHeight="1">
      <c r="A314" s="53" t="s">
        <v>308</v>
      </c>
      <c r="B314" s="38">
        <v>7990</v>
      </c>
      <c r="C314" s="38">
        <v>22481.200000000001</v>
      </c>
      <c r="D314" s="4">
        <f t="shared" si="79"/>
        <v>2.8136670838548188</v>
      </c>
      <c r="E314" s="11">
        <v>10</v>
      </c>
      <c r="F314" s="5" t="s">
        <v>371</v>
      </c>
      <c r="G314" s="5" t="s">
        <v>371</v>
      </c>
      <c r="H314" s="5" t="s">
        <v>371</v>
      </c>
      <c r="I314" s="5" t="s">
        <v>371</v>
      </c>
      <c r="J314" s="5" t="s">
        <v>371</v>
      </c>
      <c r="K314" s="5" t="s">
        <v>371</v>
      </c>
      <c r="L314" s="5" t="s">
        <v>371</v>
      </c>
      <c r="M314" s="5" t="s">
        <v>371</v>
      </c>
      <c r="N314" s="38">
        <v>1397.6</v>
      </c>
      <c r="O314" s="38">
        <v>1820.3</v>
      </c>
      <c r="P314" s="4">
        <f t="shared" si="80"/>
        <v>1.3024470520892959</v>
      </c>
      <c r="Q314" s="11">
        <v>20</v>
      </c>
      <c r="R314" s="11">
        <v>1</v>
      </c>
      <c r="S314" s="11">
        <v>15</v>
      </c>
      <c r="T314" s="38">
        <v>50</v>
      </c>
      <c r="U314" s="38">
        <v>56.8</v>
      </c>
      <c r="V314" s="4">
        <f t="shared" si="81"/>
        <v>1.1359999999999999</v>
      </c>
      <c r="W314" s="11">
        <v>15</v>
      </c>
      <c r="X314" s="38">
        <v>4</v>
      </c>
      <c r="Y314" s="38">
        <v>5.3</v>
      </c>
      <c r="Z314" s="4">
        <f t="shared" si="82"/>
        <v>1.325</v>
      </c>
      <c r="AA314" s="11">
        <v>35</v>
      </c>
      <c r="AB314" s="50">
        <f t="shared" si="87"/>
        <v>1.3957959145298326</v>
      </c>
      <c r="AC314" s="50">
        <f t="shared" si="88"/>
        <v>1.2195795914529832</v>
      </c>
      <c r="AD314" s="51">
        <v>80</v>
      </c>
      <c r="AE314" s="38">
        <f t="shared" si="83"/>
        <v>7.2727272727272725</v>
      </c>
      <c r="AF314" s="38">
        <f t="shared" si="84"/>
        <v>8.9</v>
      </c>
      <c r="AG314" s="38">
        <f t="shared" si="78"/>
        <v>1.6272727272727279</v>
      </c>
      <c r="AH314" s="38">
        <v>-0.1</v>
      </c>
      <c r="AI314" s="38">
        <f t="shared" si="85"/>
        <v>8.8000000000000007</v>
      </c>
      <c r="AJ314" s="38"/>
      <c r="AK314" s="38">
        <f t="shared" si="86"/>
        <v>8.8000000000000007</v>
      </c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10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10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10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10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10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10"/>
      <c r="GJ314" s="9"/>
      <c r="GK314" s="9"/>
    </row>
    <row r="315" spans="1:193" s="2" customFormat="1" ht="16.95" customHeight="1">
      <c r="A315" s="53" t="s">
        <v>309</v>
      </c>
      <c r="B315" s="38">
        <v>515</v>
      </c>
      <c r="C315" s="38">
        <v>473</v>
      </c>
      <c r="D315" s="4">
        <f t="shared" si="79"/>
        <v>0.91844660194174754</v>
      </c>
      <c r="E315" s="11">
        <v>10</v>
      </c>
      <c r="F315" s="5" t="s">
        <v>371</v>
      </c>
      <c r="G315" s="5" t="s">
        <v>371</v>
      </c>
      <c r="H315" s="5" t="s">
        <v>371</v>
      </c>
      <c r="I315" s="5" t="s">
        <v>371</v>
      </c>
      <c r="J315" s="5" t="s">
        <v>371</v>
      </c>
      <c r="K315" s="5" t="s">
        <v>371</v>
      </c>
      <c r="L315" s="5" t="s">
        <v>371</v>
      </c>
      <c r="M315" s="5" t="s">
        <v>371</v>
      </c>
      <c r="N315" s="38">
        <v>306.60000000000002</v>
      </c>
      <c r="O315" s="38">
        <v>294.10000000000002</v>
      </c>
      <c r="P315" s="4">
        <f t="shared" si="80"/>
        <v>0.95923026744944551</v>
      </c>
      <c r="Q315" s="11">
        <v>20</v>
      </c>
      <c r="R315" s="11">
        <v>1</v>
      </c>
      <c r="S315" s="11">
        <v>15</v>
      </c>
      <c r="T315" s="38">
        <v>0</v>
      </c>
      <c r="U315" s="38">
        <v>0</v>
      </c>
      <c r="V315" s="4">
        <f t="shared" si="81"/>
        <v>1</v>
      </c>
      <c r="W315" s="11">
        <v>10</v>
      </c>
      <c r="X315" s="38">
        <v>5</v>
      </c>
      <c r="Y315" s="38">
        <v>5.0999999999999996</v>
      </c>
      <c r="Z315" s="4">
        <f t="shared" si="82"/>
        <v>1.02</v>
      </c>
      <c r="AA315" s="11">
        <v>40</v>
      </c>
      <c r="AB315" s="50">
        <f t="shared" si="87"/>
        <v>0.99125338282533026</v>
      </c>
      <c r="AC315" s="50">
        <f t="shared" si="88"/>
        <v>0.99125338282533026</v>
      </c>
      <c r="AD315" s="51">
        <v>168</v>
      </c>
      <c r="AE315" s="38">
        <f t="shared" si="83"/>
        <v>15.272727272727273</v>
      </c>
      <c r="AF315" s="38">
        <f t="shared" si="84"/>
        <v>15.1</v>
      </c>
      <c r="AG315" s="38">
        <f t="shared" si="78"/>
        <v>-0.17272727272727373</v>
      </c>
      <c r="AH315" s="38">
        <v>1</v>
      </c>
      <c r="AI315" s="38">
        <f t="shared" si="85"/>
        <v>16.100000000000001</v>
      </c>
      <c r="AJ315" s="38"/>
      <c r="AK315" s="38">
        <f t="shared" si="86"/>
        <v>16.100000000000001</v>
      </c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10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10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10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10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10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10"/>
      <c r="GJ315" s="9"/>
      <c r="GK315" s="9"/>
    </row>
    <row r="316" spans="1:193" s="2" customFormat="1" ht="16.95" customHeight="1">
      <c r="A316" s="53" t="s">
        <v>310</v>
      </c>
      <c r="B316" s="38">
        <v>1006</v>
      </c>
      <c r="C316" s="38">
        <v>688</v>
      </c>
      <c r="D316" s="4">
        <f t="shared" si="79"/>
        <v>0.68389662027832998</v>
      </c>
      <c r="E316" s="11">
        <v>10</v>
      </c>
      <c r="F316" s="5" t="s">
        <v>371</v>
      </c>
      <c r="G316" s="5" t="s">
        <v>371</v>
      </c>
      <c r="H316" s="5" t="s">
        <v>371</v>
      </c>
      <c r="I316" s="5" t="s">
        <v>371</v>
      </c>
      <c r="J316" s="5" t="s">
        <v>371</v>
      </c>
      <c r="K316" s="5" t="s">
        <v>371</v>
      </c>
      <c r="L316" s="5" t="s">
        <v>371</v>
      </c>
      <c r="M316" s="5" t="s">
        <v>371</v>
      </c>
      <c r="N316" s="38">
        <v>191.9</v>
      </c>
      <c r="O316" s="38">
        <v>74.400000000000006</v>
      </c>
      <c r="P316" s="4">
        <f t="shared" si="80"/>
        <v>0.38770192808754561</v>
      </c>
      <c r="Q316" s="11">
        <v>20</v>
      </c>
      <c r="R316" s="11">
        <v>1</v>
      </c>
      <c r="S316" s="11">
        <v>15</v>
      </c>
      <c r="T316" s="38">
        <v>64</v>
      </c>
      <c r="U316" s="38">
        <v>60</v>
      </c>
      <c r="V316" s="4">
        <f t="shared" si="81"/>
        <v>0.9375</v>
      </c>
      <c r="W316" s="11">
        <v>20</v>
      </c>
      <c r="X316" s="38">
        <v>2</v>
      </c>
      <c r="Y316" s="38">
        <v>1.5</v>
      </c>
      <c r="Z316" s="4">
        <f t="shared" si="82"/>
        <v>0.75</v>
      </c>
      <c r="AA316" s="11">
        <v>30</v>
      </c>
      <c r="AB316" s="50">
        <f t="shared" si="87"/>
        <v>0.74571583962667598</v>
      </c>
      <c r="AC316" s="50">
        <f t="shared" si="88"/>
        <v>0.74571583962667598</v>
      </c>
      <c r="AD316" s="51">
        <v>1045</v>
      </c>
      <c r="AE316" s="38">
        <f t="shared" si="83"/>
        <v>95</v>
      </c>
      <c r="AF316" s="38">
        <f t="shared" si="84"/>
        <v>70.8</v>
      </c>
      <c r="AG316" s="38">
        <f t="shared" si="78"/>
        <v>-24.200000000000003</v>
      </c>
      <c r="AH316" s="38">
        <v>-4.0999999999999996</v>
      </c>
      <c r="AI316" s="38">
        <f t="shared" si="85"/>
        <v>66.7</v>
      </c>
      <c r="AJ316" s="38"/>
      <c r="AK316" s="38">
        <f t="shared" si="86"/>
        <v>66.7</v>
      </c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10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10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10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10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10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10"/>
      <c r="GJ316" s="9"/>
      <c r="GK316" s="9"/>
    </row>
    <row r="317" spans="1:193" s="2" customFormat="1" ht="16.95" customHeight="1">
      <c r="A317" s="53" t="s">
        <v>311</v>
      </c>
      <c r="B317" s="38">
        <v>0</v>
      </c>
      <c r="C317" s="38">
        <v>0</v>
      </c>
      <c r="D317" s="4">
        <f t="shared" si="79"/>
        <v>0</v>
      </c>
      <c r="E317" s="11">
        <v>0</v>
      </c>
      <c r="F317" s="5" t="s">
        <v>371</v>
      </c>
      <c r="G317" s="5" t="s">
        <v>371</v>
      </c>
      <c r="H317" s="5" t="s">
        <v>371</v>
      </c>
      <c r="I317" s="5" t="s">
        <v>371</v>
      </c>
      <c r="J317" s="5" t="s">
        <v>371</v>
      </c>
      <c r="K317" s="5" t="s">
        <v>371</v>
      </c>
      <c r="L317" s="5" t="s">
        <v>371</v>
      </c>
      <c r="M317" s="5" t="s">
        <v>371</v>
      </c>
      <c r="N317" s="38">
        <v>626.6</v>
      </c>
      <c r="O317" s="38">
        <v>67.900000000000006</v>
      </c>
      <c r="P317" s="4">
        <f t="shared" si="80"/>
        <v>0.1083625917650814</v>
      </c>
      <c r="Q317" s="11">
        <v>20</v>
      </c>
      <c r="R317" s="11">
        <v>1</v>
      </c>
      <c r="S317" s="11">
        <v>15</v>
      </c>
      <c r="T317" s="38">
        <v>17</v>
      </c>
      <c r="U317" s="38">
        <v>19.7</v>
      </c>
      <c r="V317" s="4">
        <f t="shared" si="81"/>
        <v>1.1588235294117646</v>
      </c>
      <c r="W317" s="11">
        <v>20</v>
      </c>
      <c r="X317" s="38">
        <v>0</v>
      </c>
      <c r="Y317" s="38">
        <v>0.8</v>
      </c>
      <c r="Z317" s="4">
        <f t="shared" si="82"/>
        <v>1</v>
      </c>
      <c r="AA317" s="11">
        <v>30</v>
      </c>
      <c r="AB317" s="50">
        <f t="shared" si="87"/>
        <v>0.8275732049827873</v>
      </c>
      <c r="AC317" s="50">
        <f t="shared" si="88"/>
        <v>0.8275732049827873</v>
      </c>
      <c r="AD317" s="51">
        <v>83</v>
      </c>
      <c r="AE317" s="38">
        <f t="shared" si="83"/>
        <v>7.5454545454545459</v>
      </c>
      <c r="AF317" s="38">
        <f t="shared" si="84"/>
        <v>6.2</v>
      </c>
      <c r="AG317" s="38">
        <f t="shared" si="78"/>
        <v>-1.3454545454545457</v>
      </c>
      <c r="AH317" s="38">
        <v>-0.5</v>
      </c>
      <c r="AI317" s="38">
        <f t="shared" si="85"/>
        <v>5.7</v>
      </c>
      <c r="AJ317" s="38"/>
      <c r="AK317" s="38">
        <f t="shared" si="86"/>
        <v>5.7</v>
      </c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10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10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10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10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10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10"/>
      <c r="GJ317" s="9"/>
      <c r="GK317" s="9"/>
    </row>
    <row r="318" spans="1:193" s="2" customFormat="1" ht="16.95" customHeight="1">
      <c r="A318" s="53" t="s">
        <v>312</v>
      </c>
      <c r="B318" s="38">
        <v>0</v>
      </c>
      <c r="C318" s="38">
        <v>0</v>
      </c>
      <c r="D318" s="4">
        <f t="shared" si="79"/>
        <v>0</v>
      </c>
      <c r="E318" s="11">
        <v>0</v>
      </c>
      <c r="F318" s="5" t="s">
        <v>371</v>
      </c>
      <c r="G318" s="5" t="s">
        <v>371</v>
      </c>
      <c r="H318" s="5" t="s">
        <v>371</v>
      </c>
      <c r="I318" s="5" t="s">
        <v>371</v>
      </c>
      <c r="J318" s="5" t="s">
        <v>371</v>
      </c>
      <c r="K318" s="5" t="s">
        <v>371</v>
      </c>
      <c r="L318" s="5" t="s">
        <v>371</v>
      </c>
      <c r="M318" s="5" t="s">
        <v>371</v>
      </c>
      <c r="N318" s="38">
        <v>135</v>
      </c>
      <c r="O318" s="38">
        <v>303.89999999999998</v>
      </c>
      <c r="P318" s="4">
        <f t="shared" si="80"/>
        <v>2.2511111111111108</v>
      </c>
      <c r="Q318" s="11">
        <v>20</v>
      </c>
      <c r="R318" s="11">
        <v>1</v>
      </c>
      <c r="S318" s="11">
        <v>15</v>
      </c>
      <c r="T318" s="38">
        <v>23</v>
      </c>
      <c r="U318" s="38">
        <v>25.5</v>
      </c>
      <c r="V318" s="4">
        <f t="shared" si="81"/>
        <v>1.1086956521739131</v>
      </c>
      <c r="W318" s="11">
        <v>20</v>
      </c>
      <c r="X318" s="38">
        <v>6</v>
      </c>
      <c r="Y318" s="38">
        <v>6.5</v>
      </c>
      <c r="Z318" s="4">
        <f t="shared" si="82"/>
        <v>1.0833333333333333</v>
      </c>
      <c r="AA318" s="11">
        <v>30</v>
      </c>
      <c r="AB318" s="50">
        <f t="shared" si="87"/>
        <v>1.349366297243535</v>
      </c>
      <c r="AC318" s="50">
        <f t="shared" si="88"/>
        <v>1.2149366297243533</v>
      </c>
      <c r="AD318" s="51">
        <v>464</v>
      </c>
      <c r="AE318" s="38">
        <f t="shared" si="83"/>
        <v>42.18181818181818</v>
      </c>
      <c r="AF318" s="38">
        <f t="shared" si="84"/>
        <v>51.2</v>
      </c>
      <c r="AG318" s="38">
        <f t="shared" si="78"/>
        <v>9.018181818181823</v>
      </c>
      <c r="AH318" s="38">
        <v>-2.7</v>
      </c>
      <c r="AI318" s="38">
        <f t="shared" si="85"/>
        <v>48.5</v>
      </c>
      <c r="AJ318" s="38"/>
      <c r="AK318" s="38">
        <f t="shared" si="86"/>
        <v>48.5</v>
      </c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10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10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10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10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10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10"/>
      <c r="GJ318" s="9"/>
      <c r="GK318" s="9"/>
    </row>
    <row r="319" spans="1:193" s="2" customFormat="1" ht="16.95" customHeight="1">
      <c r="A319" s="53" t="s">
        <v>313</v>
      </c>
      <c r="B319" s="38">
        <v>4129</v>
      </c>
      <c r="C319" s="38">
        <v>4374</v>
      </c>
      <c r="D319" s="4">
        <f t="shared" si="79"/>
        <v>1.0593364010656334</v>
      </c>
      <c r="E319" s="11">
        <v>10</v>
      </c>
      <c r="F319" s="5" t="s">
        <v>371</v>
      </c>
      <c r="G319" s="5" t="s">
        <v>371</v>
      </c>
      <c r="H319" s="5" t="s">
        <v>371</v>
      </c>
      <c r="I319" s="5" t="s">
        <v>371</v>
      </c>
      <c r="J319" s="5" t="s">
        <v>371</v>
      </c>
      <c r="K319" s="5" t="s">
        <v>371</v>
      </c>
      <c r="L319" s="5" t="s">
        <v>371</v>
      </c>
      <c r="M319" s="5" t="s">
        <v>371</v>
      </c>
      <c r="N319" s="38">
        <v>629.9</v>
      </c>
      <c r="O319" s="38">
        <v>1016.9</v>
      </c>
      <c r="P319" s="4">
        <f t="shared" si="80"/>
        <v>1.6143832354341958</v>
      </c>
      <c r="Q319" s="11">
        <v>20</v>
      </c>
      <c r="R319" s="11">
        <v>1</v>
      </c>
      <c r="S319" s="11">
        <v>15</v>
      </c>
      <c r="T319" s="38">
        <v>0</v>
      </c>
      <c r="U319" s="38">
        <v>0</v>
      </c>
      <c r="V319" s="4">
        <f t="shared" si="81"/>
        <v>1</v>
      </c>
      <c r="W319" s="11">
        <v>20</v>
      </c>
      <c r="X319" s="38">
        <v>0</v>
      </c>
      <c r="Y319" s="38">
        <v>0</v>
      </c>
      <c r="Z319" s="4">
        <f t="shared" si="82"/>
        <v>1</v>
      </c>
      <c r="AA319" s="11">
        <v>30</v>
      </c>
      <c r="AB319" s="50">
        <f t="shared" si="87"/>
        <v>1.1355897759930553</v>
      </c>
      <c r="AC319" s="50">
        <f t="shared" si="88"/>
        <v>1.1355897759930553</v>
      </c>
      <c r="AD319" s="51">
        <v>1037</v>
      </c>
      <c r="AE319" s="38">
        <f t="shared" si="83"/>
        <v>94.272727272727266</v>
      </c>
      <c r="AF319" s="38">
        <f t="shared" si="84"/>
        <v>107.1</v>
      </c>
      <c r="AG319" s="38">
        <f t="shared" si="78"/>
        <v>12.827272727272728</v>
      </c>
      <c r="AH319" s="38">
        <v>4.5999999999999996</v>
      </c>
      <c r="AI319" s="38">
        <f t="shared" si="85"/>
        <v>111.69999999999999</v>
      </c>
      <c r="AJ319" s="38"/>
      <c r="AK319" s="38">
        <f t="shared" si="86"/>
        <v>111.7</v>
      </c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10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10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10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10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10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10"/>
      <c r="GJ319" s="9"/>
      <c r="GK319" s="9"/>
    </row>
    <row r="320" spans="1:193" s="2" customFormat="1" ht="16.95" customHeight="1">
      <c r="A320" s="53" t="s">
        <v>314</v>
      </c>
      <c r="B320" s="38">
        <v>2794</v>
      </c>
      <c r="C320" s="38">
        <v>2223</v>
      </c>
      <c r="D320" s="4">
        <f t="shared" si="79"/>
        <v>0.79563350035790981</v>
      </c>
      <c r="E320" s="11">
        <v>10</v>
      </c>
      <c r="F320" s="5" t="s">
        <v>371</v>
      </c>
      <c r="G320" s="5" t="s">
        <v>371</v>
      </c>
      <c r="H320" s="5" t="s">
        <v>371</v>
      </c>
      <c r="I320" s="5" t="s">
        <v>371</v>
      </c>
      <c r="J320" s="5" t="s">
        <v>371</v>
      </c>
      <c r="K320" s="5" t="s">
        <v>371</v>
      </c>
      <c r="L320" s="5" t="s">
        <v>371</v>
      </c>
      <c r="M320" s="5" t="s">
        <v>371</v>
      </c>
      <c r="N320" s="38">
        <v>386.4</v>
      </c>
      <c r="O320" s="38">
        <v>249.1</v>
      </c>
      <c r="P320" s="4">
        <f t="shared" si="80"/>
        <v>0.64466873706004146</v>
      </c>
      <c r="Q320" s="11">
        <v>20</v>
      </c>
      <c r="R320" s="11">
        <v>1</v>
      </c>
      <c r="S320" s="11">
        <v>15</v>
      </c>
      <c r="T320" s="38">
        <v>22</v>
      </c>
      <c r="U320" s="38">
        <v>25.2</v>
      </c>
      <c r="V320" s="4">
        <f t="shared" si="81"/>
        <v>1.1454545454545455</v>
      </c>
      <c r="W320" s="11">
        <v>30</v>
      </c>
      <c r="X320" s="38">
        <v>1</v>
      </c>
      <c r="Y320" s="38">
        <v>0</v>
      </c>
      <c r="Z320" s="4">
        <f t="shared" si="82"/>
        <v>0</v>
      </c>
      <c r="AA320" s="11">
        <v>20</v>
      </c>
      <c r="AB320" s="50">
        <f t="shared" si="87"/>
        <v>0.73908785377280306</v>
      </c>
      <c r="AC320" s="50">
        <f t="shared" si="88"/>
        <v>0.73908785377280306</v>
      </c>
      <c r="AD320" s="51">
        <v>229</v>
      </c>
      <c r="AE320" s="38">
        <f t="shared" si="83"/>
        <v>20.818181818181817</v>
      </c>
      <c r="AF320" s="38">
        <f t="shared" si="84"/>
        <v>15.4</v>
      </c>
      <c r="AG320" s="38">
        <f t="shared" si="78"/>
        <v>-5.4181818181818162</v>
      </c>
      <c r="AH320" s="38">
        <v>1.7</v>
      </c>
      <c r="AI320" s="38">
        <f t="shared" si="85"/>
        <v>17.100000000000001</v>
      </c>
      <c r="AJ320" s="38">
        <f>MIN($AI320,42.3)</f>
        <v>17.100000000000001</v>
      </c>
      <c r="AK320" s="38">
        <f t="shared" si="86"/>
        <v>0</v>
      </c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10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10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10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10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10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10"/>
      <c r="GJ320" s="9"/>
      <c r="GK320" s="9"/>
    </row>
    <row r="321" spans="1:193" s="2" customFormat="1" ht="16.95" customHeight="1">
      <c r="A321" s="53" t="s">
        <v>315</v>
      </c>
      <c r="B321" s="38">
        <v>0</v>
      </c>
      <c r="C321" s="38">
        <v>0</v>
      </c>
      <c r="D321" s="4">
        <f t="shared" si="79"/>
        <v>0</v>
      </c>
      <c r="E321" s="11">
        <v>0</v>
      </c>
      <c r="F321" s="5" t="s">
        <v>371</v>
      </c>
      <c r="G321" s="5" t="s">
        <v>371</v>
      </c>
      <c r="H321" s="5" t="s">
        <v>371</v>
      </c>
      <c r="I321" s="5" t="s">
        <v>371</v>
      </c>
      <c r="J321" s="5" t="s">
        <v>371</v>
      </c>
      <c r="K321" s="5" t="s">
        <v>371</v>
      </c>
      <c r="L321" s="5" t="s">
        <v>371</v>
      </c>
      <c r="M321" s="5" t="s">
        <v>371</v>
      </c>
      <c r="N321" s="38">
        <v>185</v>
      </c>
      <c r="O321" s="38">
        <v>653.79999999999995</v>
      </c>
      <c r="P321" s="4">
        <f t="shared" si="80"/>
        <v>3.5340540540540539</v>
      </c>
      <c r="Q321" s="11">
        <v>20</v>
      </c>
      <c r="R321" s="11">
        <v>1</v>
      </c>
      <c r="S321" s="11">
        <v>15</v>
      </c>
      <c r="T321" s="38">
        <v>20</v>
      </c>
      <c r="U321" s="38">
        <v>23.4</v>
      </c>
      <c r="V321" s="4">
        <f t="shared" si="81"/>
        <v>1.17</v>
      </c>
      <c r="W321" s="11">
        <v>10</v>
      </c>
      <c r="X321" s="38">
        <v>0</v>
      </c>
      <c r="Y321" s="38">
        <v>0</v>
      </c>
      <c r="Z321" s="4">
        <f t="shared" si="82"/>
        <v>1</v>
      </c>
      <c r="AA321" s="11">
        <v>40</v>
      </c>
      <c r="AB321" s="50">
        <f t="shared" si="87"/>
        <v>1.616248012718601</v>
      </c>
      <c r="AC321" s="50">
        <f t="shared" si="88"/>
        <v>1.24162480127186</v>
      </c>
      <c r="AD321" s="51">
        <v>16</v>
      </c>
      <c r="AE321" s="38">
        <f t="shared" si="83"/>
        <v>1.4545454545454546</v>
      </c>
      <c r="AF321" s="38">
        <f t="shared" si="84"/>
        <v>1.8</v>
      </c>
      <c r="AG321" s="38">
        <f t="shared" si="78"/>
        <v>0.34545454545454546</v>
      </c>
      <c r="AH321" s="38">
        <v>0.1</v>
      </c>
      <c r="AI321" s="38">
        <f t="shared" si="85"/>
        <v>1.9000000000000001</v>
      </c>
      <c r="AJ321" s="38">
        <f>MIN($AI321,137.9)</f>
        <v>1.9000000000000001</v>
      </c>
      <c r="AK321" s="38">
        <f t="shared" si="86"/>
        <v>0</v>
      </c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10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10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10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10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10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10"/>
      <c r="GJ321" s="9"/>
      <c r="GK321" s="9"/>
    </row>
    <row r="322" spans="1:193" s="2" customFormat="1" ht="16.95" customHeight="1">
      <c r="A322" s="53" t="s">
        <v>316</v>
      </c>
      <c r="B322" s="38">
        <v>0</v>
      </c>
      <c r="C322" s="38">
        <v>0</v>
      </c>
      <c r="D322" s="4">
        <f t="shared" si="79"/>
        <v>0</v>
      </c>
      <c r="E322" s="11">
        <v>0</v>
      </c>
      <c r="F322" s="5" t="s">
        <v>371</v>
      </c>
      <c r="G322" s="5" t="s">
        <v>371</v>
      </c>
      <c r="H322" s="5" t="s">
        <v>371</v>
      </c>
      <c r="I322" s="5" t="s">
        <v>371</v>
      </c>
      <c r="J322" s="5" t="s">
        <v>371</v>
      </c>
      <c r="K322" s="5" t="s">
        <v>371</v>
      </c>
      <c r="L322" s="5" t="s">
        <v>371</v>
      </c>
      <c r="M322" s="5" t="s">
        <v>371</v>
      </c>
      <c r="N322" s="38">
        <v>523.70000000000005</v>
      </c>
      <c r="O322" s="38">
        <v>601.70000000000005</v>
      </c>
      <c r="P322" s="4">
        <f t="shared" si="80"/>
        <v>1.1489402329578002</v>
      </c>
      <c r="Q322" s="11">
        <v>20</v>
      </c>
      <c r="R322" s="11">
        <v>1</v>
      </c>
      <c r="S322" s="11">
        <v>15</v>
      </c>
      <c r="T322" s="38">
        <v>115</v>
      </c>
      <c r="U322" s="38">
        <v>124.8</v>
      </c>
      <c r="V322" s="4">
        <f t="shared" si="81"/>
        <v>1.0852173913043479</v>
      </c>
      <c r="W322" s="11">
        <v>40</v>
      </c>
      <c r="X322" s="38">
        <v>0</v>
      </c>
      <c r="Y322" s="38">
        <v>0</v>
      </c>
      <c r="Z322" s="4">
        <f t="shared" si="82"/>
        <v>1</v>
      </c>
      <c r="AA322" s="11">
        <v>10</v>
      </c>
      <c r="AB322" s="50">
        <f t="shared" si="87"/>
        <v>1.0751470624862343</v>
      </c>
      <c r="AC322" s="50">
        <f t="shared" si="88"/>
        <v>1.0751470624862343</v>
      </c>
      <c r="AD322" s="51">
        <v>8</v>
      </c>
      <c r="AE322" s="38">
        <f t="shared" si="83"/>
        <v>0.72727272727272729</v>
      </c>
      <c r="AF322" s="38">
        <f t="shared" si="84"/>
        <v>0.8</v>
      </c>
      <c r="AG322" s="38">
        <f t="shared" si="78"/>
        <v>7.2727272727272751E-2</v>
      </c>
      <c r="AH322" s="38">
        <v>-0.1</v>
      </c>
      <c r="AI322" s="38">
        <f t="shared" si="85"/>
        <v>0.70000000000000007</v>
      </c>
      <c r="AJ322" s="38">
        <f>MIN($AI322,153.1)</f>
        <v>0.70000000000000007</v>
      </c>
      <c r="AK322" s="38">
        <f t="shared" si="86"/>
        <v>0</v>
      </c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10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10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10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10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10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10"/>
      <c r="GJ322" s="9"/>
      <c r="GK322" s="9"/>
    </row>
    <row r="323" spans="1:193" s="2" customFormat="1" ht="16.95" customHeight="1">
      <c r="A323" s="53" t="s">
        <v>317</v>
      </c>
      <c r="B323" s="38">
        <v>126</v>
      </c>
      <c r="C323" s="38">
        <v>35.200000000000003</v>
      </c>
      <c r="D323" s="4">
        <f t="shared" si="79"/>
        <v>0.27936507936507937</v>
      </c>
      <c r="E323" s="11">
        <v>10</v>
      </c>
      <c r="F323" s="5" t="s">
        <v>371</v>
      </c>
      <c r="G323" s="5" t="s">
        <v>371</v>
      </c>
      <c r="H323" s="5" t="s">
        <v>371</v>
      </c>
      <c r="I323" s="5" t="s">
        <v>371</v>
      </c>
      <c r="J323" s="5" t="s">
        <v>371</v>
      </c>
      <c r="K323" s="5" t="s">
        <v>371</v>
      </c>
      <c r="L323" s="5" t="s">
        <v>371</v>
      </c>
      <c r="M323" s="5" t="s">
        <v>371</v>
      </c>
      <c r="N323" s="38">
        <v>616.70000000000005</v>
      </c>
      <c r="O323" s="38">
        <v>226.8</v>
      </c>
      <c r="P323" s="4">
        <f t="shared" si="80"/>
        <v>0.36776390465380249</v>
      </c>
      <c r="Q323" s="11">
        <v>20</v>
      </c>
      <c r="R323" s="11">
        <v>1</v>
      </c>
      <c r="S323" s="11">
        <v>15</v>
      </c>
      <c r="T323" s="38">
        <v>0</v>
      </c>
      <c r="U323" s="38">
        <v>0.2</v>
      </c>
      <c r="V323" s="4">
        <f t="shared" si="81"/>
        <v>1</v>
      </c>
      <c r="W323" s="11">
        <v>15</v>
      </c>
      <c r="X323" s="38">
        <v>0</v>
      </c>
      <c r="Y323" s="38">
        <v>0.2</v>
      </c>
      <c r="Z323" s="4">
        <f t="shared" si="82"/>
        <v>1</v>
      </c>
      <c r="AA323" s="11">
        <v>35</v>
      </c>
      <c r="AB323" s="50">
        <f t="shared" si="87"/>
        <v>0.79104135670238784</v>
      </c>
      <c r="AC323" s="50">
        <f t="shared" si="88"/>
        <v>0.79104135670238784</v>
      </c>
      <c r="AD323" s="51">
        <v>593</v>
      </c>
      <c r="AE323" s="38">
        <f t="shared" si="83"/>
        <v>53.909090909090907</v>
      </c>
      <c r="AF323" s="38">
        <f t="shared" si="84"/>
        <v>42.6</v>
      </c>
      <c r="AG323" s="38">
        <f t="shared" si="78"/>
        <v>-11.309090909090905</v>
      </c>
      <c r="AH323" s="38">
        <v>2.4</v>
      </c>
      <c r="AI323" s="38">
        <f t="shared" si="85"/>
        <v>45</v>
      </c>
      <c r="AJ323" s="38">
        <f>MIN($AI323,38.8)</f>
        <v>38.799999999999997</v>
      </c>
      <c r="AK323" s="38">
        <f t="shared" si="86"/>
        <v>6.2</v>
      </c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10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10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10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10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10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10"/>
      <c r="GJ323" s="9"/>
      <c r="GK323" s="9"/>
    </row>
    <row r="324" spans="1:193" s="2" customFormat="1" ht="16.95" customHeight="1">
      <c r="A324" s="53" t="s">
        <v>318</v>
      </c>
      <c r="B324" s="38">
        <v>1238</v>
      </c>
      <c r="C324" s="38">
        <v>1335.7</v>
      </c>
      <c r="D324" s="4">
        <f t="shared" si="79"/>
        <v>1.0789176090468497</v>
      </c>
      <c r="E324" s="11">
        <v>10</v>
      </c>
      <c r="F324" s="5" t="s">
        <v>371</v>
      </c>
      <c r="G324" s="5" t="s">
        <v>371</v>
      </c>
      <c r="H324" s="5" t="s">
        <v>371</v>
      </c>
      <c r="I324" s="5" t="s">
        <v>371</v>
      </c>
      <c r="J324" s="5" t="s">
        <v>371</v>
      </c>
      <c r="K324" s="5" t="s">
        <v>371</v>
      </c>
      <c r="L324" s="5" t="s">
        <v>371</v>
      </c>
      <c r="M324" s="5" t="s">
        <v>371</v>
      </c>
      <c r="N324" s="38">
        <v>185.2</v>
      </c>
      <c r="O324" s="38">
        <v>352.1</v>
      </c>
      <c r="P324" s="4">
        <f t="shared" si="80"/>
        <v>1.9011879049676028</v>
      </c>
      <c r="Q324" s="11">
        <v>20</v>
      </c>
      <c r="R324" s="11">
        <v>1</v>
      </c>
      <c r="S324" s="11">
        <v>15</v>
      </c>
      <c r="T324" s="38">
        <v>12</v>
      </c>
      <c r="U324" s="38">
        <v>11</v>
      </c>
      <c r="V324" s="4">
        <f t="shared" si="81"/>
        <v>0.91666666666666663</v>
      </c>
      <c r="W324" s="11">
        <v>20</v>
      </c>
      <c r="X324" s="38">
        <v>0</v>
      </c>
      <c r="Y324" s="38">
        <v>0</v>
      </c>
      <c r="Z324" s="4">
        <f t="shared" si="82"/>
        <v>1</v>
      </c>
      <c r="AA324" s="11">
        <v>30</v>
      </c>
      <c r="AB324" s="50">
        <f t="shared" si="87"/>
        <v>1.1804870265595144</v>
      </c>
      <c r="AC324" s="50">
        <f t="shared" si="88"/>
        <v>1.1804870265595144</v>
      </c>
      <c r="AD324" s="51">
        <v>30</v>
      </c>
      <c r="AE324" s="38">
        <f t="shared" si="83"/>
        <v>2.7272727272727271</v>
      </c>
      <c r="AF324" s="38">
        <f t="shared" si="84"/>
        <v>3.2</v>
      </c>
      <c r="AG324" s="38">
        <f t="shared" si="78"/>
        <v>0.47272727272727311</v>
      </c>
      <c r="AH324" s="38">
        <v>-0.2</v>
      </c>
      <c r="AI324" s="38">
        <f t="shared" si="85"/>
        <v>3</v>
      </c>
      <c r="AJ324" s="38">
        <f>MIN($AI324,313.8)</f>
        <v>3</v>
      </c>
      <c r="AK324" s="38">
        <f t="shared" si="86"/>
        <v>0</v>
      </c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10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10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10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10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10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10"/>
      <c r="GJ324" s="9"/>
      <c r="GK324" s="9"/>
    </row>
    <row r="325" spans="1:193" s="2" customFormat="1" ht="16.95" customHeight="1">
      <c r="A325" s="53" t="s">
        <v>319</v>
      </c>
      <c r="B325" s="38">
        <v>0</v>
      </c>
      <c r="C325" s="38">
        <v>0</v>
      </c>
      <c r="D325" s="4">
        <f t="shared" si="79"/>
        <v>0</v>
      </c>
      <c r="E325" s="11">
        <v>0</v>
      </c>
      <c r="F325" s="5" t="s">
        <v>371</v>
      </c>
      <c r="G325" s="5" t="s">
        <v>371</v>
      </c>
      <c r="H325" s="5" t="s">
        <v>371</v>
      </c>
      <c r="I325" s="5" t="s">
        <v>371</v>
      </c>
      <c r="J325" s="5" t="s">
        <v>371</v>
      </c>
      <c r="K325" s="5" t="s">
        <v>371</v>
      </c>
      <c r="L325" s="5" t="s">
        <v>371</v>
      </c>
      <c r="M325" s="5" t="s">
        <v>371</v>
      </c>
      <c r="N325" s="38">
        <v>372.2</v>
      </c>
      <c r="O325" s="38">
        <v>177</v>
      </c>
      <c r="P325" s="4">
        <f t="shared" si="80"/>
        <v>0.47555077915099409</v>
      </c>
      <c r="Q325" s="11">
        <v>20</v>
      </c>
      <c r="R325" s="11">
        <v>1</v>
      </c>
      <c r="S325" s="11">
        <v>15</v>
      </c>
      <c r="T325" s="38">
        <v>0</v>
      </c>
      <c r="U325" s="38">
        <v>0</v>
      </c>
      <c r="V325" s="4">
        <f t="shared" si="81"/>
        <v>1</v>
      </c>
      <c r="W325" s="11">
        <v>20</v>
      </c>
      <c r="X325" s="38">
        <v>0</v>
      </c>
      <c r="Y325" s="38">
        <v>0</v>
      </c>
      <c r="Z325" s="4">
        <f t="shared" si="82"/>
        <v>1</v>
      </c>
      <c r="AA325" s="11">
        <v>30</v>
      </c>
      <c r="AB325" s="50">
        <f t="shared" si="87"/>
        <v>0.87660018332964573</v>
      </c>
      <c r="AC325" s="50">
        <f t="shared" si="88"/>
        <v>0.87660018332964573</v>
      </c>
      <c r="AD325" s="51">
        <v>917</v>
      </c>
      <c r="AE325" s="38">
        <f t="shared" si="83"/>
        <v>83.36363636363636</v>
      </c>
      <c r="AF325" s="38">
        <f t="shared" si="84"/>
        <v>73.099999999999994</v>
      </c>
      <c r="AG325" s="38">
        <f t="shared" si="78"/>
        <v>-10.263636363636365</v>
      </c>
      <c r="AH325" s="38">
        <v>-8</v>
      </c>
      <c r="AI325" s="38">
        <f t="shared" si="85"/>
        <v>65.099999999999994</v>
      </c>
      <c r="AJ325" s="38"/>
      <c r="AK325" s="38">
        <f t="shared" si="86"/>
        <v>65.099999999999994</v>
      </c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10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10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10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10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10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10"/>
      <c r="GJ325" s="9"/>
      <c r="GK325" s="9"/>
    </row>
    <row r="326" spans="1:193" s="2" customFormat="1" ht="16.95" customHeight="1">
      <c r="A326" s="53" t="s">
        <v>320</v>
      </c>
      <c r="B326" s="38">
        <v>1300</v>
      </c>
      <c r="C326" s="38">
        <v>4414</v>
      </c>
      <c r="D326" s="4">
        <f t="shared" si="79"/>
        <v>3.3953846153846152</v>
      </c>
      <c r="E326" s="11">
        <v>10</v>
      </c>
      <c r="F326" s="5" t="s">
        <v>371</v>
      </c>
      <c r="G326" s="5" t="s">
        <v>371</v>
      </c>
      <c r="H326" s="5" t="s">
        <v>371</v>
      </c>
      <c r="I326" s="5" t="s">
        <v>371</v>
      </c>
      <c r="J326" s="5" t="s">
        <v>371</v>
      </c>
      <c r="K326" s="5" t="s">
        <v>371</v>
      </c>
      <c r="L326" s="5" t="s">
        <v>371</v>
      </c>
      <c r="M326" s="5" t="s">
        <v>371</v>
      </c>
      <c r="N326" s="38">
        <v>212.6</v>
      </c>
      <c r="O326" s="38">
        <v>373.5</v>
      </c>
      <c r="P326" s="4">
        <f t="shared" si="80"/>
        <v>1.7568203198494827</v>
      </c>
      <c r="Q326" s="11">
        <v>20</v>
      </c>
      <c r="R326" s="11">
        <v>1</v>
      </c>
      <c r="S326" s="11">
        <v>15</v>
      </c>
      <c r="T326" s="38">
        <v>318</v>
      </c>
      <c r="U326" s="38">
        <v>309.5</v>
      </c>
      <c r="V326" s="4">
        <f t="shared" si="81"/>
        <v>0.97327044025157228</v>
      </c>
      <c r="W326" s="11">
        <v>40</v>
      </c>
      <c r="X326" s="38">
        <v>2</v>
      </c>
      <c r="Y326" s="38">
        <v>0.5</v>
      </c>
      <c r="Z326" s="4">
        <f t="shared" si="82"/>
        <v>0.25</v>
      </c>
      <c r="AA326" s="11">
        <v>10</v>
      </c>
      <c r="AB326" s="50">
        <f t="shared" si="87"/>
        <v>1.321274422746302</v>
      </c>
      <c r="AC326" s="50">
        <f t="shared" si="88"/>
        <v>1.2121274422746302</v>
      </c>
      <c r="AD326" s="51">
        <v>1705</v>
      </c>
      <c r="AE326" s="38">
        <f t="shared" si="83"/>
        <v>155</v>
      </c>
      <c r="AF326" s="38">
        <f t="shared" si="84"/>
        <v>187.9</v>
      </c>
      <c r="AG326" s="38">
        <f t="shared" si="78"/>
        <v>32.900000000000006</v>
      </c>
      <c r="AH326" s="38">
        <v>15</v>
      </c>
      <c r="AI326" s="38">
        <f t="shared" si="85"/>
        <v>202.9</v>
      </c>
      <c r="AJ326" s="38">
        <v>-0.6</v>
      </c>
      <c r="AK326" s="38">
        <f t="shared" si="86"/>
        <v>203.5</v>
      </c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10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10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10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10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10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10"/>
      <c r="GJ326" s="9"/>
      <c r="GK326" s="9"/>
    </row>
    <row r="327" spans="1:193" s="2" customFormat="1" ht="16.95" customHeight="1">
      <c r="A327" s="53" t="s">
        <v>321</v>
      </c>
      <c r="B327" s="38">
        <v>0</v>
      </c>
      <c r="C327" s="38">
        <v>0</v>
      </c>
      <c r="D327" s="4">
        <f t="shared" si="79"/>
        <v>0</v>
      </c>
      <c r="E327" s="11">
        <v>0</v>
      </c>
      <c r="F327" s="5" t="s">
        <v>371</v>
      </c>
      <c r="G327" s="5" t="s">
        <v>371</v>
      </c>
      <c r="H327" s="5" t="s">
        <v>371</v>
      </c>
      <c r="I327" s="5" t="s">
        <v>371</v>
      </c>
      <c r="J327" s="5" t="s">
        <v>371</v>
      </c>
      <c r="K327" s="5" t="s">
        <v>371</v>
      </c>
      <c r="L327" s="5" t="s">
        <v>371</v>
      </c>
      <c r="M327" s="5" t="s">
        <v>371</v>
      </c>
      <c r="N327" s="38">
        <v>173.3</v>
      </c>
      <c r="O327" s="38">
        <v>47.3</v>
      </c>
      <c r="P327" s="4">
        <f t="shared" si="80"/>
        <v>0.27293710328909404</v>
      </c>
      <c r="Q327" s="11">
        <v>20</v>
      </c>
      <c r="R327" s="11">
        <v>1</v>
      </c>
      <c r="S327" s="11">
        <v>15</v>
      </c>
      <c r="T327" s="38">
        <v>0</v>
      </c>
      <c r="U327" s="38">
        <v>0</v>
      </c>
      <c r="V327" s="4">
        <f t="shared" si="81"/>
        <v>1</v>
      </c>
      <c r="W327" s="11">
        <v>25</v>
      </c>
      <c r="X327" s="38">
        <v>0</v>
      </c>
      <c r="Y327" s="38">
        <v>0</v>
      </c>
      <c r="Z327" s="4">
        <f t="shared" si="82"/>
        <v>1</v>
      </c>
      <c r="AA327" s="11">
        <v>25</v>
      </c>
      <c r="AB327" s="50">
        <f t="shared" si="87"/>
        <v>0.8289263772444927</v>
      </c>
      <c r="AC327" s="50">
        <f t="shared" si="88"/>
        <v>0.8289263772444927</v>
      </c>
      <c r="AD327" s="51">
        <v>478</v>
      </c>
      <c r="AE327" s="38">
        <f t="shared" si="83"/>
        <v>43.454545454545453</v>
      </c>
      <c r="AF327" s="38">
        <f t="shared" si="84"/>
        <v>36</v>
      </c>
      <c r="AG327" s="38">
        <f t="shared" si="78"/>
        <v>-7.4545454545454533</v>
      </c>
      <c r="AH327" s="38">
        <v>-9.3000000000000007</v>
      </c>
      <c r="AI327" s="38">
        <f t="shared" si="85"/>
        <v>26.7</v>
      </c>
      <c r="AJ327" s="38"/>
      <c r="AK327" s="38">
        <f t="shared" si="86"/>
        <v>26.7</v>
      </c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10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10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10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10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10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10"/>
      <c r="GJ327" s="9"/>
      <c r="GK327" s="9"/>
    </row>
    <row r="328" spans="1:193" s="2" customFormat="1" ht="16.95" customHeight="1">
      <c r="A328" s="19" t="s">
        <v>322</v>
      </c>
      <c r="B328" s="7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10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10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10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10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10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10"/>
      <c r="GJ328" s="9"/>
      <c r="GK328" s="9"/>
    </row>
    <row r="329" spans="1:193" s="2" customFormat="1" ht="16.95" customHeight="1">
      <c r="A329" s="14" t="s">
        <v>323</v>
      </c>
      <c r="B329" s="38">
        <v>165</v>
      </c>
      <c r="C329" s="38">
        <v>107.9</v>
      </c>
      <c r="D329" s="4">
        <f t="shared" si="79"/>
        <v>0.65393939393939393</v>
      </c>
      <c r="E329" s="11">
        <v>10</v>
      </c>
      <c r="F329" s="5" t="s">
        <v>371</v>
      </c>
      <c r="G329" s="5" t="s">
        <v>371</v>
      </c>
      <c r="H329" s="5" t="s">
        <v>371</v>
      </c>
      <c r="I329" s="5" t="s">
        <v>371</v>
      </c>
      <c r="J329" s="5" t="s">
        <v>371</v>
      </c>
      <c r="K329" s="5" t="s">
        <v>371</v>
      </c>
      <c r="L329" s="5" t="s">
        <v>371</v>
      </c>
      <c r="M329" s="5" t="s">
        <v>371</v>
      </c>
      <c r="N329" s="38">
        <v>242.6</v>
      </c>
      <c r="O329" s="38">
        <v>26.8</v>
      </c>
      <c r="P329" s="4">
        <f t="shared" si="80"/>
        <v>0.11046990931574609</v>
      </c>
      <c r="Q329" s="11">
        <v>20</v>
      </c>
      <c r="R329" s="11">
        <v>1</v>
      </c>
      <c r="S329" s="11">
        <v>15</v>
      </c>
      <c r="T329" s="38">
        <v>4</v>
      </c>
      <c r="U329" s="38">
        <v>4.2</v>
      </c>
      <c r="V329" s="4">
        <f t="shared" si="81"/>
        <v>1.05</v>
      </c>
      <c r="W329" s="11">
        <v>30</v>
      </c>
      <c r="X329" s="38">
        <v>2</v>
      </c>
      <c r="Y329" s="38">
        <v>0</v>
      </c>
      <c r="Z329" s="4">
        <f t="shared" si="82"/>
        <v>0</v>
      </c>
      <c r="AA329" s="11">
        <v>20</v>
      </c>
      <c r="AB329" s="50">
        <f t="shared" si="87"/>
        <v>0.58156623290219855</v>
      </c>
      <c r="AC329" s="50">
        <f t="shared" si="88"/>
        <v>0.58156623290219855</v>
      </c>
      <c r="AD329" s="51">
        <v>921</v>
      </c>
      <c r="AE329" s="38">
        <f t="shared" si="83"/>
        <v>83.727272727272734</v>
      </c>
      <c r="AF329" s="38">
        <f t="shared" si="84"/>
        <v>48.7</v>
      </c>
      <c r="AG329" s="38">
        <f t="shared" si="78"/>
        <v>-35.027272727272731</v>
      </c>
      <c r="AH329" s="38">
        <v>4.8</v>
      </c>
      <c r="AI329" s="38">
        <f t="shared" si="85"/>
        <v>53.5</v>
      </c>
      <c r="AJ329" s="38"/>
      <c r="AK329" s="38">
        <f t="shared" si="86"/>
        <v>53.5</v>
      </c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10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10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10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10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10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10"/>
      <c r="GJ329" s="9"/>
      <c r="GK329" s="9"/>
    </row>
    <row r="330" spans="1:193" s="2" customFormat="1" ht="16.95" customHeight="1">
      <c r="A330" s="14" t="s">
        <v>324</v>
      </c>
      <c r="B330" s="38">
        <v>80</v>
      </c>
      <c r="C330" s="38">
        <v>80</v>
      </c>
      <c r="D330" s="4">
        <f t="shared" si="79"/>
        <v>1</v>
      </c>
      <c r="E330" s="11">
        <v>10</v>
      </c>
      <c r="F330" s="5" t="s">
        <v>371</v>
      </c>
      <c r="G330" s="5" t="s">
        <v>371</v>
      </c>
      <c r="H330" s="5" t="s">
        <v>371</v>
      </c>
      <c r="I330" s="5" t="s">
        <v>371</v>
      </c>
      <c r="J330" s="5" t="s">
        <v>371</v>
      </c>
      <c r="K330" s="5" t="s">
        <v>371</v>
      </c>
      <c r="L330" s="5" t="s">
        <v>371</v>
      </c>
      <c r="M330" s="5" t="s">
        <v>371</v>
      </c>
      <c r="N330" s="38">
        <v>365.7</v>
      </c>
      <c r="O330" s="38">
        <v>45.6</v>
      </c>
      <c r="P330" s="4">
        <f t="shared" si="80"/>
        <v>0.12469237079573421</v>
      </c>
      <c r="Q330" s="11">
        <v>20</v>
      </c>
      <c r="R330" s="11">
        <v>1</v>
      </c>
      <c r="S330" s="11">
        <v>15</v>
      </c>
      <c r="T330" s="38">
        <v>55</v>
      </c>
      <c r="U330" s="38">
        <v>43.7</v>
      </c>
      <c r="V330" s="4">
        <f t="shared" si="81"/>
        <v>0.79454545454545455</v>
      </c>
      <c r="W330" s="11">
        <v>20</v>
      </c>
      <c r="X330" s="38">
        <v>2</v>
      </c>
      <c r="Y330" s="38">
        <v>2.2000000000000002</v>
      </c>
      <c r="Z330" s="4">
        <f t="shared" si="82"/>
        <v>1.1000000000000001</v>
      </c>
      <c r="AA330" s="11">
        <v>30</v>
      </c>
      <c r="AB330" s="50">
        <f t="shared" si="87"/>
        <v>0.80405006849288185</v>
      </c>
      <c r="AC330" s="50">
        <f t="shared" si="88"/>
        <v>0.80405006849288185</v>
      </c>
      <c r="AD330" s="51">
        <v>1149</v>
      </c>
      <c r="AE330" s="38">
        <f t="shared" si="83"/>
        <v>104.45454545454545</v>
      </c>
      <c r="AF330" s="38">
        <f t="shared" si="84"/>
        <v>84</v>
      </c>
      <c r="AG330" s="38">
        <f t="shared" si="78"/>
        <v>-20.454545454545453</v>
      </c>
      <c r="AH330" s="38">
        <v>3.1</v>
      </c>
      <c r="AI330" s="38">
        <f t="shared" si="85"/>
        <v>87.1</v>
      </c>
      <c r="AJ330" s="38"/>
      <c r="AK330" s="38">
        <f t="shared" si="86"/>
        <v>87.1</v>
      </c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10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10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10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10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10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10"/>
      <c r="GJ330" s="9"/>
      <c r="GK330" s="9"/>
    </row>
    <row r="331" spans="1:193" s="2" customFormat="1" ht="16.95" customHeight="1">
      <c r="A331" s="14" t="s">
        <v>277</v>
      </c>
      <c r="B331" s="38">
        <v>56</v>
      </c>
      <c r="C331" s="38">
        <v>45.5</v>
      </c>
      <c r="D331" s="4">
        <f t="shared" si="79"/>
        <v>0.8125</v>
      </c>
      <c r="E331" s="11">
        <v>10</v>
      </c>
      <c r="F331" s="5" t="s">
        <v>371</v>
      </c>
      <c r="G331" s="5" t="s">
        <v>371</v>
      </c>
      <c r="H331" s="5" t="s">
        <v>371</v>
      </c>
      <c r="I331" s="5" t="s">
        <v>371</v>
      </c>
      <c r="J331" s="5" t="s">
        <v>371</v>
      </c>
      <c r="K331" s="5" t="s">
        <v>371</v>
      </c>
      <c r="L331" s="5" t="s">
        <v>371</v>
      </c>
      <c r="M331" s="5" t="s">
        <v>371</v>
      </c>
      <c r="N331" s="38">
        <v>72.3</v>
      </c>
      <c r="O331" s="38">
        <v>7.8</v>
      </c>
      <c r="P331" s="4">
        <f t="shared" si="80"/>
        <v>0.1078838174273859</v>
      </c>
      <c r="Q331" s="11">
        <v>20</v>
      </c>
      <c r="R331" s="11">
        <v>1</v>
      </c>
      <c r="S331" s="11">
        <v>15</v>
      </c>
      <c r="T331" s="38">
        <v>9</v>
      </c>
      <c r="U331" s="38">
        <v>29.8</v>
      </c>
      <c r="V331" s="4">
        <f t="shared" si="81"/>
        <v>3.3111111111111113</v>
      </c>
      <c r="W331" s="11">
        <v>30</v>
      </c>
      <c r="X331" s="38">
        <v>2</v>
      </c>
      <c r="Y331" s="38">
        <v>2.1</v>
      </c>
      <c r="Z331" s="4">
        <f t="shared" si="82"/>
        <v>1.05</v>
      </c>
      <c r="AA331" s="11">
        <v>20</v>
      </c>
      <c r="AB331" s="50">
        <f t="shared" si="87"/>
        <v>1.5328001019145374</v>
      </c>
      <c r="AC331" s="50">
        <f t="shared" si="88"/>
        <v>1.2332800101914536</v>
      </c>
      <c r="AD331" s="51">
        <v>721</v>
      </c>
      <c r="AE331" s="38">
        <f t="shared" si="83"/>
        <v>65.545454545454547</v>
      </c>
      <c r="AF331" s="38">
        <f t="shared" si="84"/>
        <v>80.8</v>
      </c>
      <c r="AG331" s="38">
        <f t="shared" si="78"/>
        <v>15.25454545454545</v>
      </c>
      <c r="AH331" s="38">
        <v>-1.4</v>
      </c>
      <c r="AI331" s="38">
        <f t="shared" si="85"/>
        <v>79.399999999999991</v>
      </c>
      <c r="AJ331" s="38"/>
      <c r="AK331" s="38">
        <f t="shared" si="86"/>
        <v>79.400000000000006</v>
      </c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10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10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10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10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10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10"/>
      <c r="GJ331" s="9"/>
      <c r="GK331" s="9"/>
    </row>
    <row r="332" spans="1:193" s="2" customFormat="1" ht="16.95" customHeight="1">
      <c r="A332" s="14" t="s">
        <v>325</v>
      </c>
      <c r="B332" s="38">
        <v>110</v>
      </c>
      <c r="C332" s="38">
        <v>132.19999999999999</v>
      </c>
      <c r="D332" s="4">
        <f t="shared" si="79"/>
        <v>1.2018181818181817</v>
      </c>
      <c r="E332" s="11">
        <v>10</v>
      </c>
      <c r="F332" s="5" t="s">
        <v>371</v>
      </c>
      <c r="G332" s="5" t="s">
        <v>371</v>
      </c>
      <c r="H332" s="5" t="s">
        <v>371</v>
      </c>
      <c r="I332" s="5" t="s">
        <v>371</v>
      </c>
      <c r="J332" s="5" t="s">
        <v>371</v>
      </c>
      <c r="K332" s="5" t="s">
        <v>371</v>
      </c>
      <c r="L332" s="5" t="s">
        <v>371</v>
      </c>
      <c r="M332" s="5" t="s">
        <v>371</v>
      </c>
      <c r="N332" s="38">
        <v>156.30000000000001</v>
      </c>
      <c r="O332" s="38">
        <v>67.599999999999994</v>
      </c>
      <c r="P332" s="4">
        <f t="shared" si="80"/>
        <v>0.43250159948816375</v>
      </c>
      <c r="Q332" s="11">
        <v>20</v>
      </c>
      <c r="R332" s="11">
        <v>1</v>
      </c>
      <c r="S332" s="11">
        <v>15</v>
      </c>
      <c r="T332" s="38">
        <v>5</v>
      </c>
      <c r="U332" s="38">
        <v>5.0999999999999996</v>
      </c>
      <c r="V332" s="4">
        <f t="shared" si="81"/>
        <v>1.02</v>
      </c>
      <c r="W332" s="11">
        <v>35</v>
      </c>
      <c r="X332" s="38">
        <v>2</v>
      </c>
      <c r="Y332" s="38">
        <v>0</v>
      </c>
      <c r="Z332" s="4">
        <f t="shared" si="82"/>
        <v>0</v>
      </c>
      <c r="AA332" s="11">
        <v>15</v>
      </c>
      <c r="AB332" s="50">
        <f t="shared" si="87"/>
        <v>0.75124435587310623</v>
      </c>
      <c r="AC332" s="50">
        <f t="shared" si="88"/>
        <v>0.75124435587310623</v>
      </c>
      <c r="AD332" s="51">
        <v>1688</v>
      </c>
      <c r="AE332" s="38">
        <f t="shared" si="83"/>
        <v>153.45454545454547</v>
      </c>
      <c r="AF332" s="38">
        <f t="shared" si="84"/>
        <v>115.3</v>
      </c>
      <c r="AG332" s="38">
        <f t="shared" si="78"/>
        <v>-38.15454545454547</v>
      </c>
      <c r="AH332" s="38">
        <v>-7.9</v>
      </c>
      <c r="AI332" s="38">
        <f t="shared" si="85"/>
        <v>107.39999999999999</v>
      </c>
      <c r="AJ332" s="38"/>
      <c r="AK332" s="38">
        <f t="shared" si="86"/>
        <v>107.4</v>
      </c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10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10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10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10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10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10"/>
      <c r="GJ332" s="9"/>
      <c r="GK332" s="9"/>
    </row>
    <row r="333" spans="1:193" s="2" customFormat="1" ht="16.95" customHeight="1">
      <c r="A333" s="14" t="s">
        <v>326</v>
      </c>
      <c r="B333" s="38">
        <v>0</v>
      </c>
      <c r="C333" s="38">
        <v>0</v>
      </c>
      <c r="D333" s="4">
        <f t="shared" si="79"/>
        <v>0</v>
      </c>
      <c r="E333" s="11">
        <v>0</v>
      </c>
      <c r="F333" s="5" t="s">
        <v>371</v>
      </c>
      <c r="G333" s="5" t="s">
        <v>371</v>
      </c>
      <c r="H333" s="5" t="s">
        <v>371</v>
      </c>
      <c r="I333" s="5" t="s">
        <v>371</v>
      </c>
      <c r="J333" s="5" t="s">
        <v>371</v>
      </c>
      <c r="K333" s="5" t="s">
        <v>371</v>
      </c>
      <c r="L333" s="5" t="s">
        <v>371</v>
      </c>
      <c r="M333" s="5" t="s">
        <v>371</v>
      </c>
      <c r="N333" s="38">
        <v>340.7</v>
      </c>
      <c r="O333" s="38">
        <v>83.9</v>
      </c>
      <c r="P333" s="4">
        <f t="shared" si="80"/>
        <v>0.24625770472556505</v>
      </c>
      <c r="Q333" s="11">
        <v>20</v>
      </c>
      <c r="R333" s="11">
        <v>1</v>
      </c>
      <c r="S333" s="11">
        <v>15</v>
      </c>
      <c r="T333" s="38">
        <v>205</v>
      </c>
      <c r="U333" s="38">
        <v>208.8</v>
      </c>
      <c r="V333" s="4">
        <f t="shared" si="81"/>
        <v>1.0185365853658537</v>
      </c>
      <c r="W333" s="11">
        <v>30</v>
      </c>
      <c r="X333" s="38">
        <v>3</v>
      </c>
      <c r="Y333" s="38">
        <v>3.3</v>
      </c>
      <c r="Z333" s="4">
        <f t="shared" si="82"/>
        <v>1.0999999999999999</v>
      </c>
      <c r="AA333" s="11">
        <v>20</v>
      </c>
      <c r="AB333" s="50">
        <f t="shared" si="87"/>
        <v>0.85272060771161062</v>
      </c>
      <c r="AC333" s="50">
        <f t="shared" si="88"/>
        <v>0.85272060771161062</v>
      </c>
      <c r="AD333" s="51">
        <v>2513</v>
      </c>
      <c r="AE333" s="38">
        <f t="shared" si="83"/>
        <v>228.45454545454547</v>
      </c>
      <c r="AF333" s="38">
        <f t="shared" si="84"/>
        <v>194.8</v>
      </c>
      <c r="AG333" s="38">
        <f t="shared" si="78"/>
        <v>-33.654545454545456</v>
      </c>
      <c r="AH333" s="38">
        <v>0</v>
      </c>
      <c r="AI333" s="38">
        <f t="shared" si="85"/>
        <v>194.8</v>
      </c>
      <c r="AJ333" s="38"/>
      <c r="AK333" s="38">
        <f t="shared" si="86"/>
        <v>194.8</v>
      </c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10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10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10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10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10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10"/>
      <c r="GJ333" s="9"/>
      <c r="GK333" s="9"/>
    </row>
    <row r="334" spans="1:193" s="2" customFormat="1" ht="16.95" customHeight="1">
      <c r="A334" s="14" t="s">
        <v>327</v>
      </c>
      <c r="B334" s="38">
        <v>72</v>
      </c>
      <c r="C334" s="38">
        <v>74</v>
      </c>
      <c r="D334" s="4">
        <f t="shared" si="79"/>
        <v>1.0277777777777777</v>
      </c>
      <c r="E334" s="11">
        <v>10</v>
      </c>
      <c r="F334" s="5" t="s">
        <v>371</v>
      </c>
      <c r="G334" s="5" t="s">
        <v>371</v>
      </c>
      <c r="H334" s="5" t="s">
        <v>371</v>
      </c>
      <c r="I334" s="5" t="s">
        <v>371</v>
      </c>
      <c r="J334" s="5" t="s">
        <v>371</v>
      </c>
      <c r="K334" s="5" t="s">
        <v>371</v>
      </c>
      <c r="L334" s="5" t="s">
        <v>371</v>
      </c>
      <c r="M334" s="5" t="s">
        <v>371</v>
      </c>
      <c r="N334" s="38">
        <v>119.7</v>
      </c>
      <c r="O334" s="38">
        <v>48.5</v>
      </c>
      <c r="P334" s="4">
        <f t="shared" si="80"/>
        <v>0.40517961570593147</v>
      </c>
      <c r="Q334" s="11">
        <v>20</v>
      </c>
      <c r="R334" s="11">
        <v>1</v>
      </c>
      <c r="S334" s="11">
        <v>15</v>
      </c>
      <c r="T334" s="38">
        <v>8</v>
      </c>
      <c r="U334" s="38">
        <v>4</v>
      </c>
      <c r="V334" s="4">
        <f t="shared" si="81"/>
        <v>0.5</v>
      </c>
      <c r="W334" s="11">
        <v>30</v>
      </c>
      <c r="X334" s="38">
        <v>3</v>
      </c>
      <c r="Y334" s="38">
        <v>2.7</v>
      </c>
      <c r="Z334" s="4">
        <f t="shared" si="82"/>
        <v>0.9</v>
      </c>
      <c r="AA334" s="11">
        <v>20</v>
      </c>
      <c r="AB334" s="50">
        <f t="shared" si="87"/>
        <v>0.69875126412522526</v>
      </c>
      <c r="AC334" s="50">
        <f t="shared" si="88"/>
        <v>0.69875126412522526</v>
      </c>
      <c r="AD334" s="51">
        <v>1014</v>
      </c>
      <c r="AE334" s="38">
        <f t="shared" si="83"/>
        <v>92.181818181818187</v>
      </c>
      <c r="AF334" s="38">
        <f t="shared" si="84"/>
        <v>64.400000000000006</v>
      </c>
      <c r="AG334" s="38">
        <f t="shared" si="78"/>
        <v>-27.781818181818181</v>
      </c>
      <c r="AH334" s="38">
        <v>-11.2</v>
      </c>
      <c r="AI334" s="38">
        <f t="shared" si="85"/>
        <v>53.2</v>
      </c>
      <c r="AJ334" s="38"/>
      <c r="AK334" s="38">
        <f t="shared" si="86"/>
        <v>53.2</v>
      </c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10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10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10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10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10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10"/>
      <c r="GJ334" s="9"/>
      <c r="GK334" s="9"/>
    </row>
    <row r="335" spans="1:193" s="2" customFormat="1" ht="16.95" customHeight="1">
      <c r="A335" s="14" t="s">
        <v>328</v>
      </c>
      <c r="B335" s="38">
        <v>0</v>
      </c>
      <c r="C335" s="38">
        <v>0</v>
      </c>
      <c r="D335" s="4">
        <f t="shared" si="79"/>
        <v>0</v>
      </c>
      <c r="E335" s="11">
        <v>0</v>
      </c>
      <c r="F335" s="5" t="s">
        <v>371</v>
      </c>
      <c r="G335" s="5" t="s">
        <v>371</v>
      </c>
      <c r="H335" s="5" t="s">
        <v>371</v>
      </c>
      <c r="I335" s="5" t="s">
        <v>371</v>
      </c>
      <c r="J335" s="5" t="s">
        <v>371</v>
      </c>
      <c r="K335" s="5" t="s">
        <v>371</v>
      </c>
      <c r="L335" s="5" t="s">
        <v>371</v>
      </c>
      <c r="M335" s="5" t="s">
        <v>371</v>
      </c>
      <c r="N335" s="38">
        <v>445.8</v>
      </c>
      <c r="O335" s="38">
        <v>212.8</v>
      </c>
      <c r="P335" s="4">
        <f t="shared" si="80"/>
        <v>0.47734410049349485</v>
      </c>
      <c r="Q335" s="11">
        <v>20</v>
      </c>
      <c r="R335" s="11">
        <v>1</v>
      </c>
      <c r="S335" s="11">
        <v>15</v>
      </c>
      <c r="T335" s="38">
        <v>9</v>
      </c>
      <c r="U335" s="38">
        <v>32.200000000000003</v>
      </c>
      <c r="V335" s="4">
        <f t="shared" si="81"/>
        <v>3.5777777777777779</v>
      </c>
      <c r="W335" s="11">
        <v>20</v>
      </c>
      <c r="X335" s="38">
        <v>2</v>
      </c>
      <c r="Y335" s="38">
        <v>1.2</v>
      </c>
      <c r="Z335" s="4">
        <f t="shared" si="82"/>
        <v>0.6</v>
      </c>
      <c r="AA335" s="11">
        <v>30</v>
      </c>
      <c r="AB335" s="50">
        <f t="shared" si="87"/>
        <v>1.3423816184167701</v>
      </c>
      <c r="AC335" s="50">
        <f t="shared" si="88"/>
        <v>1.2142381618416769</v>
      </c>
      <c r="AD335" s="51">
        <v>466</v>
      </c>
      <c r="AE335" s="38">
        <f t="shared" si="83"/>
        <v>42.363636363636367</v>
      </c>
      <c r="AF335" s="38">
        <f t="shared" si="84"/>
        <v>51.4</v>
      </c>
      <c r="AG335" s="38">
        <f t="shared" si="78"/>
        <v>9.0363636363636317</v>
      </c>
      <c r="AH335" s="38">
        <v>-0.2</v>
      </c>
      <c r="AI335" s="38">
        <f t="shared" si="85"/>
        <v>51.199999999999996</v>
      </c>
      <c r="AJ335" s="38"/>
      <c r="AK335" s="38">
        <f t="shared" si="86"/>
        <v>51.2</v>
      </c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10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10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10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10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10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10"/>
      <c r="GJ335" s="9"/>
      <c r="GK335" s="9"/>
    </row>
    <row r="336" spans="1:193" s="2" customFormat="1" ht="16.95" customHeight="1">
      <c r="A336" s="14" t="s">
        <v>329</v>
      </c>
      <c r="B336" s="38">
        <v>108</v>
      </c>
      <c r="C336" s="38">
        <v>109.2</v>
      </c>
      <c r="D336" s="4">
        <f t="shared" si="79"/>
        <v>1.0111111111111111</v>
      </c>
      <c r="E336" s="11">
        <v>10</v>
      </c>
      <c r="F336" s="5" t="s">
        <v>371</v>
      </c>
      <c r="G336" s="5" t="s">
        <v>371</v>
      </c>
      <c r="H336" s="5" t="s">
        <v>371</v>
      </c>
      <c r="I336" s="5" t="s">
        <v>371</v>
      </c>
      <c r="J336" s="5" t="s">
        <v>371</v>
      </c>
      <c r="K336" s="5" t="s">
        <v>371</v>
      </c>
      <c r="L336" s="5" t="s">
        <v>371</v>
      </c>
      <c r="M336" s="5" t="s">
        <v>371</v>
      </c>
      <c r="N336" s="38">
        <v>102.8</v>
      </c>
      <c r="O336" s="38">
        <v>29.7</v>
      </c>
      <c r="P336" s="4">
        <f t="shared" si="80"/>
        <v>0.2889105058365759</v>
      </c>
      <c r="Q336" s="11">
        <v>20</v>
      </c>
      <c r="R336" s="11">
        <v>1</v>
      </c>
      <c r="S336" s="11">
        <v>15</v>
      </c>
      <c r="T336" s="38">
        <v>5</v>
      </c>
      <c r="U336" s="38">
        <v>6</v>
      </c>
      <c r="V336" s="4">
        <f t="shared" si="81"/>
        <v>1.2</v>
      </c>
      <c r="W336" s="11">
        <v>30</v>
      </c>
      <c r="X336" s="38">
        <v>2</v>
      </c>
      <c r="Y336" s="38">
        <v>2.2000000000000002</v>
      </c>
      <c r="Z336" s="4">
        <f t="shared" si="82"/>
        <v>1.1000000000000001</v>
      </c>
      <c r="AA336" s="11">
        <v>20</v>
      </c>
      <c r="AB336" s="50">
        <f t="shared" si="87"/>
        <v>0.9356770655562382</v>
      </c>
      <c r="AC336" s="50">
        <f t="shared" si="88"/>
        <v>0.9356770655562382</v>
      </c>
      <c r="AD336" s="51">
        <v>946</v>
      </c>
      <c r="AE336" s="38">
        <f t="shared" si="83"/>
        <v>86</v>
      </c>
      <c r="AF336" s="38">
        <f t="shared" si="84"/>
        <v>80.5</v>
      </c>
      <c r="AG336" s="38">
        <f t="shared" si="78"/>
        <v>-5.5</v>
      </c>
      <c r="AH336" s="38">
        <v>-11.7</v>
      </c>
      <c r="AI336" s="38">
        <f t="shared" si="85"/>
        <v>68.8</v>
      </c>
      <c r="AJ336" s="38"/>
      <c r="AK336" s="38">
        <f t="shared" si="86"/>
        <v>68.8</v>
      </c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10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10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10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10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10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10"/>
      <c r="GJ336" s="9"/>
      <c r="GK336" s="9"/>
    </row>
    <row r="337" spans="1:193" s="2" customFormat="1" ht="16.95" customHeight="1">
      <c r="A337" s="14" t="s">
        <v>330</v>
      </c>
      <c r="B337" s="38">
        <v>70</v>
      </c>
      <c r="C337" s="38">
        <v>70.599999999999994</v>
      </c>
      <c r="D337" s="4">
        <f t="shared" si="79"/>
        <v>1.0085714285714285</v>
      </c>
      <c r="E337" s="11">
        <v>10</v>
      </c>
      <c r="F337" s="5" t="s">
        <v>371</v>
      </c>
      <c r="G337" s="5" t="s">
        <v>371</v>
      </c>
      <c r="H337" s="5" t="s">
        <v>371</v>
      </c>
      <c r="I337" s="5" t="s">
        <v>371</v>
      </c>
      <c r="J337" s="5" t="s">
        <v>371</v>
      </c>
      <c r="K337" s="5" t="s">
        <v>371</v>
      </c>
      <c r="L337" s="5" t="s">
        <v>371</v>
      </c>
      <c r="M337" s="5" t="s">
        <v>371</v>
      </c>
      <c r="N337" s="38">
        <v>57.4</v>
      </c>
      <c r="O337" s="38">
        <v>28.9</v>
      </c>
      <c r="P337" s="4">
        <f t="shared" si="80"/>
        <v>0.50348432055749126</v>
      </c>
      <c r="Q337" s="11">
        <v>20</v>
      </c>
      <c r="R337" s="11">
        <v>1</v>
      </c>
      <c r="S337" s="11">
        <v>15</v>
      </c>
      <c r="T337" s="38">
        <v>4</v>
      </c>
      <c r="U337" s="38">
        <v>6.4</v>
      </c>
      <c r="V337" s="4">
        <f t="shared" si="81"/>
        <v>1.6</v>
      </c>
      <c r="W337" s="11">
        <v>25</v>
      </c>
      <c r="X337" s="38">
        <v>2</v>
      </c>
      <c r="Y337" s="38">
        <v>2.4</v>
      </c>
      <c r="Z337" s="4">
        <f t="shared" si="82"/>
        <v>1.2</v>
      </c>
      <c r="AA337" s="11">
        <v>25</v>
      </c>
      <c r="AB337" s="50">
        <f t="shared" si="87"/>
        <v>1.1068989547038326</v>
      </c>
      <c r="AC337" s="50">
        <f t="shared" si="88"/>
        <v>1.1068989547038326</v>
      </c>
      <c r="AD337" s="51">
        <v>435</v>
      </c>
      <c r="AE337" s="38">
        <f t="shared" si="83"/>
        <v>39.545454545454547</v>
      </c>
      <c r="AF337" s="38">
        <f t="shared" si="84"/>
        <v>43.8</v>
      </c>
      <c r="AG337" s="38">
        <f t="shared" si="78"/>
        <v>4.2545454545454504</v>
      </c>
      <c r="AH337" s="38">
        <v>-6.5</v>
      </c>
      <c r="AI337" s="38">
        <f t="shared" si="85"/>
        <v>37.299999999999997</v>
      </c>
      <c r="AJ337" s="38">
        <v>-0.1</v>
      </c>
      <c r="AK337" s="38">
        <f t="shared" si="86"/>
        <v>37.4</v>
      </c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10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10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10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10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10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10"/>
      <c r="GJ337" s="9"/>
      <c r="GK337" s="9"/>
    </row>
    <row r="338" spans="1:193" s="2" customFormat="1" ht="16.95" customHeight="1">
      <c r="A338" s="14" t="s">
        <v>331</v>
      </c>
      <c r="B338" s="38">
        <v>147</v>
      </c>
      <c r="C338" s="38">
        <v>87.1</v>
      </c>
      <c r="D338" s="4">
        <f t="shared" si="79"/>
        <v>0.59251700680272101</v>
      </c>
      <c r="E338" s="11">
        <v>10</v>
      </c>
      <c r="F338" s="5" t="s">
        <v>371</v>
      </c>
      <c r="G338" s="5" t="s">
        <v>371</v>
      </c>
      <c r="H338" s="5" t="s">
        <v>371</v>
      </c>
      <c r="I338" s="5" t="s">
        <v>371</v>
      </c>
      <c r="J338" s="5" t="s">
        <v>371</v>
      </c>
      <c r="K338" s="5" t="s">
        <v>371</v>
      </c>
      <c r="L338" s="5" t="s">
        <v>371</v>
      </c>
      <c r="M338" s="5" t="s">
        <v>371</v>
      </c>
      <c r="N338" s="38">
        <v>153.69999999999999</v>
      </c>
      <c r="O338" s="38">
        <v>32.6</v>
      </c>
      <c r="P338" s="4">
        <f t="shared" si="80"/>
        <v>0.21210149642160053</v>
      </c>
      <c r="Q338" s="11">
        <v>20</v>
      </c>
      <c r="R338" s="11">
        <v>1</v>
      </c>
      <c r="S338" s="11">
        <v>15</v>
      </c>
      <c r="T338" s="38">
        <v>55</v>
      </c>
      <c r="U338" s="38">
        <v>35.9</v>
      </c>
      <c r="V338" s="4">
        <f t="shared" si="81"/>
        <v>0.65272727272727271</v>
      </c>
      <c r="W338" s="11">
        <v>20</v>
      </c>
      <c r="X338" s="38">
        <v>25</v>
      </c>
      <c r="Y338" s="38">
        <v>29.6</v>
      </c>
      <c r="Z338" s="4">
        <f t="shared" si="82"/>
        <v>1.1840000000000002</v>
      </c>
      <c r="AA338" s="11">
        <v>30</v>
      </c>
      <c r="AB338" s="50">
        <f t="shared" si="87"/>
        <v>0.77622889948425977</v>
      </c>
      <c r="AC338" s="50">
        <f t="shared" si="88"/>
        <v>0.77622889948425977</v>
      </c>
      <c r="AD338" s="51">
        <v>850</v>
      </c>
      <c r="AE338" s="38">
        <f t="shared" si="83"/>
        <v>77.272727272727266</v>
      </c>
      <c r="AF338" s="38">
        <f t="shared" si="84"/>
        <v>60</v>
      </c>
      <c r="AG338" s="38">
        <f t="shared" si="78"/>
        <v>-17.272727272727266</v>
      </c>
      <c r="AH338" s="38">
        <v>2.5</v>
      </c>
      <c r="AI338" s="38">
        <f t="shared" si="85"/>
        <v>62.5</v>
      </c>
      <c r="AJ338" s="38"/>
      <c r="AK338" s="38">
        <f t="shared" si="86"/>
        <v>62.5</v>
      </c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10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10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10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10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10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10"/>
      <c r="GJ338" s="9"/>
      <c r="GK338" s="9"/>
    </row>
    <row r="339" spans="1:193" s="2" customFormat="1" ht="16.95" customHeight="1">
      <c r="A339" s="14" t="s">
        <v>332</v>
      </c>
      <c r="B339" s="38">
        <v>6849</v>
      </c>
      <c r="C339" s="38">
        <v>7457.4</v>
      </c>
      <c r="D339" s="4">
        <f t="shared" si="79"/>
        <v>1.0888304862023652</v>
      </c>
      <c r="E339" s="11">
        <v>10</v>
      </c>
      <c r="F339" s="5" t="s">
        <v>371</v>
      </c>
      <c r="G339" s="5" t="s">
        <v>371</v>
      </c>
      <c r="H339" s="5" t="s">
        <v>371</v>
      </c>
      <c r="I339" s="5" t="s">
        <v>371</v>
      </c>
      <c r="J339" s="5" t="s">
        <v>371</v>
      </c>
      <c r="K339" s="5" t="s">
        <v>371</v>
      </c>
      <c r="L339" s="5" t="s">
        <v>371</v>
      </c>
      <c r="M339" s="5" t="s">
        <v>371</v>
      </c>
      <c r="N339" s="38">
        <v>987</v>
      </c>
      <c r="O339" s="38">
        <v>604</v>
      </c>
      <c r="P339" s="4">
        <f t="shared" si="80"/>
        <v>0.61195542046605877</v>
      </c>
      <c r="Q339" s="11">
        <v>20</v>
      </c>
      <c r="R339" s="11">
        <v>1</v>
      </c>
      <c r="S339" s="11">
        <v>15</v>
      </c>
      <c r="T339" s="38">
        <v>14</v>
      </c>
      <c r="U339" s="38">
        <v>14.4</v>
      </c>
      <c r="V339" s="4">
        <f t="shared" si="81"/>
        <v>1.0285714285714287</v>
      </c>
      <c r="W339" s="11">
        <v>20</v>
      </c>
      <c r="X339" s="38">
        <v>8</v>
      </c>
      <c r="Y339" s="38">
        <v>8.6</v>
      </c>
      <c r="Z339" s="4">
        <f t="shared" si="82"/>
        <v>1.075</v>
      </c>
      <c r="AA339" s="11">
        <v>30</v>
      </c>
      <c r="AB339" s="50">
        <f t="shared" si="87"/>
        <v>0.95735622992393055</v>
      </c>
      <c r="AC339" s="50">
        <f t="shared" si="88"/>
        <v>0.95735622992393055</v>
      </c>
      <c r="AD339" s="51">
        <v>3280</v>
      </c>
      <c r="AE339" s="38">
        <f t="shared" si="83"/>
        <v>298.18181818181819</v>
      </c>
      <c r="AF339" s="38">
        <f t="shared" si="84"/>
        <v>285.5</v>
      </c>
      <c r="AG339" s="38">
        <f t="shared" si="78"/>
        <v>-12.681818181818187</v>
      </c>
      <c r="AH339" s="38">
        <v>-6.2</v>
      </c>
      <c r="AI339" s="38">
        <f t="shared" si="85"/>
        <v>279.3</v>
      </c>
      <c r="AJ339" s="38"/>
      <c r="AK339" s="38">
        <f t="shared" si="86"/>
        <v>279.3</v>
      </c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10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10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10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10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10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10"/>
      <c r="GJ339" s="9"/>
      <c r="GK339" s="9"/>
    </row>
    <row r="340" spans="1:193" s="2" customFormat="1" ht="16.95" customHeight="1">
      <c r="A340" s="19" t="s">
        <v>333</v>
      </c>
      <c r="B340" s="7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10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10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10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10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10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10"/>
      <c r="GJ340" s="9"/>
      <c r="GK340" s="9"/>
    </row>
    <row r="341" spans="1:193" s="2" customFormat="1" ht="16.95" customHeight="1">
      <c r="A341" s="53" t="s">
        <v>334</v>
      </c>
      <c r="B341" s="38">
        <v>45</v>
      </c>
      <c r="C341" s="38">
        <v>43.5</v>
      </c>
      <c r="D341" s="4">
        <f t="shared" si="79"/>
        <v>0.96666666666666667</v>
      </c>
      <c r="E341" s="11">
        <v>10</v>
      </c>
      <c r="F341" s="5" t="s">
        <v>371</v>
      </c>
      <c r="G341" s="5" t="s">
        <v>371</v>
      </c>
      <c r="H341" s="5" t="s">
        <v>371</v>
      </c>
      <c r="I341" s="5" t="s">
        <v>371</v>
      </c>
      <c r="J341" s="5" t="s">
        <v>371</v>
      </c>
      <c r="K341" s="5" t="s">
        <v>371</v>
      </c>
      <c r="L341" s="5" t="s">
        <v>371</v>
      </c>
      <c r="M341" s="5" t="s">
        <v>371</v>
      </c>
      <c r="N341" s="38">
        <v>195.7</v>
      </c>
      <c r="O341" s="38">
        <v>86.1</v>
      </c>
      <c r="P341" s="4">
        <f t="shared" si="80"/>
        <v>0.4399591211037302</v>
      </c>
      <c r="Q341" s="11">
        <v>20</v>
      </c>
      <c r="R341" s="11">
        <v>1</v>
      </c>
      <c r="S341" s="11">
        <v>15</v>
      </c>
      <c r="T341" s="38">
        <v>40</v>
      </c>
      <c r="U341" s="38">
        <v>40.1</v>
      </c>
      <c r="V341" s="4">
        <f t="shared" si="81"/>
        <v>1.0024999999999999</v>
      </c>
      <c r="W341" s="11">
        <v>25</v>
      </c>
      <c r="X341" s="38">
        <v>1</v>
      </c>
      <c r="Y341" s="38">
        <v>1.1000000000000001</v>
      </c>
      <c r="Z341" s="4">
        <f t="shared" si="82"/>
        <v>1.1000000000000001</v>
      </c>
      <c r="AA341" s="11">
        <v>25</v>
      </c>
      <c r="AB341" s="50">
        <f t="shared" si="87"/>
        <v>0.9055615693551714</v>
      </c>
      <c r="AC341" s="50">
        <f t="shared" si="88"/>
        <v>0.9055615693551714</v>
      </c>
      <c r="AD341" s="51">
        <v>1944</v>
      </c>
      <c r="AE341" s="38">
        <f t="shared" si="83"/>
        <v>176.72727272727272</v>
      </c>
      <c r="AF341" s="38">
        <f t="shared" si="84"/>
        <v>160</v>
      </c>
      <c r="AG341" s="38">
        <f t="shared" si="78"/>
        <v>-16.72727272727272</v>
      </c>
      <c r="AH341" s="38">
        <v>5.6</v>
      </c>
      <c r="AI341" s="38">
        <f t="shared" si="85"/>
        <v>165.6</v>
      </c>
      <c r="AJ341" s="38"/>
      <c r="AK341" s="38">
        <f t="shared" si="86"/>
        <v>165.6</v>
      </c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10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10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10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10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10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10"/>
      <c r="GJ341" s="9"/>
      <c r="GK341" s="9"/>
    </row>
    <row r="342" spans="1:193" s="2" customFormat="1" ht="16.95" customHeight="1">
      <c r="A342" s="53" t="s">
        <v>335</v>
      </c>
      <c r="B342" s="38">
        <v>0</v>
      </c>
      <c r="C342" s="38">
        <v>39.9</v>
      </c>
      <c r="D342" s="4">
        <f t="shared" si="79"/>
        <v>0</v>
      </c>
      <c r="E342" s="11">
        <v>0</v>
      </c>
      <c r="F342" s="5" t="s">
        <v>371</v>
      </c>
      <c r="G342" s="5" t="s">
        <v>371</v>
      </c>
      <c r="H342" s="5" t="s">
        <v>371</v>
      </c>
      <c r="I342" s="5" t="s">
        <v>371</v>
      </c>
      <c r="J342" s="5" t="s">
        <v>371</v>
      </c>
      <c r="K342" s="5" t="s">
        <v>371</v>
      </c>
      <c r="L342" s="5" t="s">
        <v>371</v>
      </c>
      <c r="M342" s="5" t="s">
        <v>371</v>
      </c>
      <c r="N342" s="38">
        <v>27.9</v>
      </c>
      <c r="O342" s="38">
        <v>214.9</v>
      </c>
      <c r="P342" s="4">
        <f t="shared" si="80"/>
        <v>7.7025089605734776</v>
      </c>
      <c r="Q342" s="11">
        <v>20</v>
      </c>
      <c r="R342" s="11">
        <v>1</v>
      </c>
      <c r="S342" s="11">
        <v>15</v>
      </c>
      <c r="T342" s="38">
        <v>75</v>
      </c>
      <c r="U342" s="38">
        <v>75</v>
      </c>
      <c r="V342" s="4">
        <f t="shared" si="81"/>
        <v>1</v>
      </c>
      <c r="W342" s="11">
        <v>30</v>
      </c>
      <c r="X342" s="38">
        <v>1</v>
      </c>
      <c r="Y342" s="38">
        <v>1.1000000000000001</v>
      </c>
      <c r="Z342" s="4">
        <f t="shared" si="82"/>
        <v>1.1000000000000001</v>
      </c>
      <c r="AA342" s="11">
        <v>20</v>
      </c>
      <c r="AB342" s="50">
        <f t="shared" si="87"/>
        <v>2.6005903436643476</v>
      </c>
      <c r="AC342" s="50">
        <f t="shared" si="88"/>
        <v>1.3</v>
      </c>
      <c r="AD342" s="51">
        <v>1524</v>
      </c>
      <c r="AE342" s="38">
        <f t="shared" si="83"/>
        <v>138.54545454545453</v>
      </c>
      <c r="AF342" s="38">
        <f t="shared" si="84"/>
        <v>180.1</v>
      </c>
      <c r="AG342" s="38">
        <f t="shared" si="78"/>
        <v>41.554545454545462</v>
      </c>
      <c r="AH342" s="38">
        <v>-2.2999999999999998</v>
      </c>
      <c r="AI342" s="38">
        <f t="shared" si="85"/>
        <v>177.79999999999998</v>
      </c>
      <c r="AJ342" s="38"/>
      <c r="AK342" s="38">
        <f t="shared" si="86"/>
        <v>177.8</v>
      </c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10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10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10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10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10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10"/>
      <c r="GJ342" s="9"/>
      <c r="GK342" s="9"/>
    </row>
    <row r="343" spans="1:193" s="2" customFormat="1" ht="16.95" customHeight="1">
      <c r="A343" s="53" t="s">
        <v>336</v>
      </c>
      <c r="B343" s="38">
        <v>65</v>
      </c>
      <c r="C343" s="38">
        <v>68</v>
      </c>
      <c r="D343" s="4">
        <f t="shared" si="79"/>
        <v>1.0461538461538462</v>
      </c>
      <c r="E343" s="11">
        <v>10</v>
      </c>
      <c r="F343" s="5" t="s">
        <v>371</v>
      </c>
      <c r="G343" s="5" t="s">
        <v>371</v>
      </c>
      <c r="H343" s="5" t="s">
        <v>371</v>
      </c>
      <c r="I343" s="5" t="s">
        <v>371</v>
      </c>
      <c r="J343" s="5" t="s">
        <v>371</v>
      </c>
      <c r="K343" s="5" t="s">
        <v>371</v>
      </c>
      <c r="L343" s="5" t="s">
        <v>371</v>
      </c>
      <c r="M343" s="5" t="s">
        <v>371</v>
      </c>
      <c r="N343" s="38">
        <v>128</v>
      </c>
      <c r="O343" s="38">
        <v>400.5</v>
      </c>
      <c r="P343" s="4">
        <f t="shared" si="80"/>
        <v>3.12890625</v>
      </c>
      <c r="Q343" s="11">
        <v>20</v>
      </c>
      <c r="R343" s="11">
        <v>1</v>
      </c>
      <c r="S343" s="11">
        <v>15</v>
      </c>
      <c r="T343" s="38">
        <v>36</v>
      </c>
      <c r="U343" s="38">
        <v>36.1</v>
      </c>
      <c r="V343" s="4">
        <f t="shared" si="81"/>
        <v>1.0027777777777778</v>
      </c>
      <c r="W343" s="11">
        <v>30</v>
      </c>
      <c r="X343" s="38">
        <v>1</v>
      </c>
      <c r="Y343" s="38">
        <v>1</v>
      </c>
      <c r="Z343" s="4">
        <f t="shared" si="82"/>
        <v>1</v>
      </c>
      <c r="AA343" s="11">
        <v>20</v>
      </c>
      <c r="AB343" s="50">
        <f t="shared" si="87"/>
        <v>1.4539262820512822</v>
      </c>
      <c r="AC343" s="50">
        <f t="shared" si="88"/>
        <v>1.2253926282051282</v>
      </c>
      <c r="AD343" s="51">
        <v>1396</v>
      </c>
      <c r="AE343" s="38">
        <f t="shared" si="83"/>
        <v>126.90909090909091</v>
      </c>
      <c r="AF343" s="38">
        <f t="shared" si="84"/>
        <v>155.5</v>
      </c>
      <c r="AG343" s="38">
        <f t="shared" si="78"/>
        <v>28.590909090909093</v>
      </c>
      <c r="AH343" s="38">
        <v>-16.8</v>
      </c>
      <c r="AI343" s="38">
        <f t="shared" si="85"/>
        <v>138.69999999999999</v>
      </c>
      <c r="AJ343" s="38"/>
      <c r="AK343" s="38">
        <f t="shared" si="86"/>
        <v>138.69999999999999</v>
      </c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10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10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10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10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10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10"/>
      <c r="GJ343" s="9"/>
      <c r="GK343" s="9"/>
    </row>
    <row r="344" spans="1:193" s="2" customFormat="1" ht="16.95" customHeight="1">
      <c r="A344" s="53" t="s">
        <v>337</v>
      </c>
      <c r="B344" s="38">
        <v>176</v>
      </c>
      <c r="C344" s="38">
        <v>176.1</v>
      </c>
      <c r="D344" s="4">
        <f t="shared" si="79"/>
        <v>1.0005681818181817</v>
      </c>
      <c r="E344" s="11">
        <v>10</v>
      </c>
      <c r="F344" s="5" t="s">
        <v>371</v>
      </c>
      <c r="G344" s="5" t="s">
        <v>371</v>
      </c>
      <c r="H344" s="5" t="s">
        <v>371</v>
      </c>
      <c r="I344" s="5" t="s">
        <v>371</v>
      </c>
      <c r="J344" s="5" t="s">
        <v>371</v>
      </c>
      <c r="K344" s="5" t="s">
        <v>371</v>
      </c>
      <c r="L344" s="5" t="s">
        <v>371</v>
      </c>
      <c r="M344" s="5" t="s">
        <v>371</v>
      </c>
      <c r="N344" s="38">
        <v>136.19999999999999</v>
      </c>
      <c r="O344" s="38">
        <v>1006.7</v>
      </c>
      <c r="P344" s="4">
        <f t="shared" si="80"/>
        <v>7.3913362701908971</v>
      </c>
      <c r="Q344" s="11">
        <v>20</v>
      </c>
      <c r="R344" s="11">
        <v>1</v>
      </c>
      <c r="S344" s="11">
        <v>15</v>
      </c>
      <c r="T344" s="38">
        <v>7</v>
      </c>
      <c r="U344" s="38">
        <v>7</v>
      </c>
      <c r="V344" s="4">
        <f t="shared" si="81"/>
        <v>1</v>
      </c>
      <c r="W344" s="11">
        <v>20</v>
      </c>
      <c r="X344" s="38">
        <v>0</v>
      </c>
      <c r="Y344" s="38">
        <v>0</v>
      </c>
      <c r="Z344" s="4">
        <f t="shared" si="82"/>
        <v>1</v>
      </c>
      <c r="AA344" s="11">
        <v>30</v>
      </c>
      <c r="AB344" s="50">
        <f t="shared" si="87"/>
        <v>2.3456042865473656</v>
      </c>
      <c r="AC344" s="50">
        <f t="shared" si="88"/>
        <v>1.3</v>
      </c>
      <c r="AD344" s="51">
        <v>2021</v>
      </c>
      <c r="AE344" s="38">
        <f t="shared" si="83"/>
        <v>183.72727272727272</v>
      </c>
      <c r="AF344" s="38">
        <f t="shared" si="84"/>
        <v>238.8</v>
      </c>
      <c r="AG344" s="38">
        <f t="shared" si="78"/>
        <v>55.072727272727292</v>
      </c>
      <c r="AH344" s="38">
        <v>-10.9</v>
      </c>
      <c r="AI344" s="38">
        <f t="shared" si="85"/>
        <v>227.9</v>
      </c>
      <c r="AJ344" s="38"/>
      <c r="AK344" s="38">
        <f t="shared" si="86"/>
        <v>227.9</v>
      </c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10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10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10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10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10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10"/>
      <c r="GJ344" s="9"/>
      <c r="GK344" s="9"/>
    </row>
    <row r="345" spans="1:193" s="2" customFormat="1" ht="16.95" customHeight="1">
      <c r="A345" s="53" t="s">
        <v>338</v>
      </c>
      <c r="B345" s="38">
        <v>58</v>
      </c>
      <c r="C345" s="38">
        <v>58</v>
      </c>
      <c r="D345" s="4">
        <f t="shared" si="79"/>
        <v>1</v>
      </c>
      <c r="E345" s="11">
        <v>10</v>
      </c>
      <c r="F345" s="5" t="s">
        <v>371</v>
      </c>
      <c r="G345" s="5" t="s">
        <v>371</v>
      </c>
      <c r="H345" s="5" t="s">
        <v>371</v>
      </c>
      <c r="I345" s="5" t="s">
        <v>371</v>
      </c>
      <c r="J345" s="5" t="s">
        <v>371</v>
      </c>
      <c r="K345" s="5" t="s">
        <v>371</v>
      </c>
      <c r="L345" s="5" t="s">
        <v>371</v>
      </c>
      <c r="M345" s="5" t="s">
        <v>371</v>
      </c>
      <c r="N345" s="38">
        <v>133.6</v>
      </c>
      <c r="O345" s="38">
        <v>14.5</v>
      </c>
      <c r="P345" s="4">
        <f t="shared" si="80"/>
        <v>0.10853293413173654</v>
      </c>
      <c r="Q345" s="11">
        <v>20</v>
      </c>
      <c r="R345" s="11">
        <v>1</v>
      </c>
      <c r="S345" s="11">
        <v>15</v>
      </c>
      <c r="T345" s="38">
        <v>10</v>
      </c>
      <c r="U345" s="38">
        <v>10</v>
      </c>
      <c r="V345" s="4">
        <f t="shared" si="81"/>
        <v>1</v>
      </c>
      <c r="W345" s="11">
        <v>20</v>
      </c>
      <c r="X345" s="38">
        <v>0</v>
      </c>
      <c r="Y345" s="38">
        <v>0</v>
      </c>
      <c r="Z345" s="4">
        <f t="shared" si="82"/>
        <v>1</v>
      </c>
      <c r="AA345" s="11">
        <v>30</v>
      </c>
      <c r="AB345" s="50">
        <f t="shared" si="87"/>
        <v>0.81232272297510233</v>
      </c>
      <c r="AC345" s="50">
        <f t="shared" si="88"/>
        <v>0.81232272297510233</v>
      </c>
      <c r="AD345" s="51">
        <v>843</v>
      </c>
      <c r="AE345" s="38">
        <f t="shared" si="83"/>
        <v>76.63636363636364</v>
      </c>
      <c r="AF345" s="38">
        <f t="shared" si="84"/>
        <v>62.3</v>
      </c>
      <c r="AG345" s="38">
        <f t="shared" si="78"/>
        <v>-14.336363636363643</v>
      </c>
      <c r="AH345" s="38">
        <v>6.7</v>
      </c>
      <c r="AI345" s="38">
        <f t="shared" si="85"/>
        <v>69</v>
      </c>
      <c r="AJ345" s="38"/>
      <c r="AK345" s="38">
        <f t="shared" si="86"/>
        <v>69</v>
      </c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10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10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10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10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10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10"/>
      <c r="GJ345" s="9"/>
      <c r="GK345" s="9"/>
    </row>
    <row r="346" spans="1:193" s="2" customFormat="1" ht="16.95" customHeight="1">
      <c r="A346" s="53" t="s">
        <v>339</v>
      </c>
      <c r="B346" s="38">
        <v>90</v>
      </c>
      <c r="C346" s="38">
        <v>86.6</v>
      </c>
      <c r="D346" s="4">
        <f t="shared" si="79"/>
        <v>0.9622222222222222</v>
      </c>
      <c r="E346" s="11">
        <v>10</v>
      </c>
      <c r="F346" s="5" t="s">
        <v>371</v>
      </c>
      <c r="G346" s="5" t="s">
        <v>371</v>
      </c>
      <c r="H346" s="5" t="s">
        <v>371</v>
      </c>
      <c r="I346" s="5" t="s">
        <v>371</v>
      </c>
      <c r="J346" s="5" t="s">
        <v>371</v>
      </c>
      <c r="K346" s="5" t="s">
        <v>371</v>
      </c>
      <c r="L346" s="5" t="s">
        <v>371</v>
      </c>
      <c r="M346" s="5" t="s">
        <v>371</v>
      </c>
      <c r="N346" s="38">
        <v>2037.1</v>
      </c>
      <c r="O346" s="38">
        <v>686.2</v>
      </c>
      <c r="P346" s="4">
        <f t="shared" si="80"/>
        <v>0.33685140641107458</v>
      </c>
      <c r="Q346" s="11">
        <v>20</v>
      </c>
      <c r="R346" s="11">
        <v>1</v>
      </c>
      <c r="S346" s="11">
        <v>15</v>
      </c>
      <c r="T346" s="38">
        <v>9</v>
      </c>
      <c r="U346" s="38">
        <v>9</v>
      </c>
      <c r="V346" s="4">
        <f t="shared" si="81"/>
        <v>1</v>
      </c>
      <c r="W346" s="11">
        <v>25</v>
      </c>
      <c r="X346" s="38">
        <v>2.6</v>
      </c>
      <c r="Y346" s="38">
        <v>2.6</v>
      </c>
      <c r="Z346" s="4">
        <f t="shared" si="82"/>
        <v>1</v>
      </c>
      <c r="AA346" s="11">
        <v>25</v>
      </c>
      <c r="AB346" s="50">
        <f t="shared" si="87"/>
        <v>0.85641316158361802</v>
      </c>
      <c r="AC346" s="50">
        <f t="shared" si="88"/>
        <v>0.85641316158361802</v>
      </c>
      <c r="AD346" s="51">
        <v>206</v>
      </c>
      <c r="AE346" s="38">
        <f t="shared" si="83"/>
        <v>18.727272727272727</v>
      </c>
      <c r="AF346" s="38">
        <f t="shared" si="84"/>
        <v>16</v>
      </c>
      <c r="AG346" s="38">
        <f t="shared" si="78"/>
        <v>-2.7272727272727266</v>
      </c>
      <c r="AH346" s="38">
        <v>-0.9</v>
      </c>
      <c r="AI346" s="38">
        <f t="shared" si="85"/>
        <v>15.1</v>
      </c>
      <c r="AJ346" s="38">
        <f>MIN($AI346,164.3)</f>
        <v>15.1</v>
      </c>
      <c r="AK346" s="38">
        <f t="shared" si="86"/>
        <v>0</v>
      </c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10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10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10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10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10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10"/>
      <c r="GJ346" s="9"/>
      <c r="GK346" s="9"/>
    </row>
    <row r="347" spans="1:193" s="2" customFormat="1" ht="16.95" customHeight="1">
      <c r="A347" s="53" t="s">
        <v>340</v>
      </c>
      <c r="B347" s="38">
        <v>0</v>
      </c>
      <c r="C347" s="38">
        <v>0</v>
      </c>
      <c r="D347" s="4">
        <f t="shared" si="79"/>
        <v>0</v>
      </c>
      <c r="E347" s="11">
        <v>0</v>
      </c>
      <c r="F347" s="5" t="s">
        <v>371</v>
      </c>
      <c r="G347" s="5" t="s">
        <v>371</v>
      </c>
      <c r="H347" s="5" t="s">
        <v>371</v>
      </c>
      <c r="I347" s="5" t="s">
        <v>371</v>
      </c>
      <c r="J347" s="5" t="s">
        <v>371</v>
      </c>
      <c r="K347" s="5" t="s">
        <v>371</v>
      </c>
      <c r="L347" s="5" t="s">
        <v>371</v>
      </c>
      <c r="M347" s="5" t="s">
        <v>371</v>
      </c>
      <c r="N347" s="38">
        <v>139.6</v>
      </c>
      <c r="O347" s="38">
        <v>70</v>
      </c>
      <c r="P347" s="4">
        <f t="shared" si="80"/>
        <v>0.50143266475644699</v>
      </c>
      <c r="Q347" s="11">
        <v>20</v>
      </c>
      <c r="R347" s="11">
        <v>1</v>
      </c>
      <c r="S347" s="11">
        <v>15</v>
      </c>
      <c r="T347" s="38">
        <v>30</v>
      </c>
      <c r="U347" s="38">
        <v>30</v>
      </c>
      <c r="V347" s="4">
        <f t="shared" si="81"/>
        <v>1</v>
      </c>
      <c r="W347" s="11">
        <v>20</v>
      </c>
      <c r="X347" s="38">
        <v>2</v>
      </c>
      <c r="Y347" s="38">
        <v>2.1</v>
      </c>
      <c r="Z347" s="4">
        <f t="shared" si="82"/>
        <v>1.05</v>
      </c>
      <c r="AA347" s="11">
        <v>30</v>
      </c>
      <c r="AB347" s="50">
        <f t="shared" si="87"/>
        <v>0.90033709758975233</v>
      </c>
      <c r="AC347" s="50">
        <f t="shared" si="88"/>
        <v>0.90033709758975233</v>
      </c>
      <c r="AD347" s="51">
        <v>1613</v>
      </c>
      <c r="AE347" s="38">
        <f t="shared" si="83"/>
        <v>146.63636363636363</v>
      </c>
      <c r="AF347" s="38">
        <f t="shared" si="84"/>
        <v>132</v>
      </c>
      <c r="AG347" s="38">
        <f t="shared" si="78"/>
        <v>-14.636363636363626</v>
      </c>
      <c r="AH347" s="38">
        <v>-5.7</v>
      </c>
      <c r="AI347" s="38">
        <f t="shared" si="85"/>
        <v>126.3</v>
      </c>
      <c r="AJ347" s="38"/>
      <c r="AK347" s="38">
        <f t="shared" si="86"/>
        <v>126.3</v>
      </c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10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10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10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10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10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10"/>
      <c r="GJ347" s="9"/>
      <c r="GK347" s="9"/>
    </row>
    <row r="348" spans="1:193" s="2" customFormat="1" ht="16.95" customHeight="1">
      <c r="A348" s="53" t="s">
        <v>341</v>
      </c>
      <c r="B348" s="38">
        <v>50</v>
      </c>
      <c r="C348" s="38">
        <v>55</v>
      </c>
      <c r="D348" s="4">
        <f t="shared" si="79"/>
        <v>1.1000000000000001</v>
      </c>
      <c r="E348" s="11">
        <v>10</v>
      </c>
      <c r="F348" s="5" t="s">
        <v>371</v>
      </c>
      <c r="G348" s="5" t="s">
        <v>371</v>
      </c>
      <c r="H348" s="5" t="s">
        <v>371</v>
      </c>
      <c r="I348" s="5" t="s">
        <v>371</v>
      </c>
      <c r="J348" s="5" t="s">
        <v>371</v>
      </c>
      <c r="K348" s="5" t="s">
        <v>371</v>
      </c>
      <c r="L348" s="5" t="s">
        <v>371</v>
      </c>
      <c r="M348" s="5" t="s">
        <v>371</v>
      </c>
      <c r="N348" s="38">
        <v>97.7</v>
      </c>
      <c r="O348" s="38">
        <v>70.599999999999994</v>
      </c>
      <c r="P348" s="4">
        <f t="shared" si="80"/>
        <v>0.72262026612077779</v>
      </c>
      <c r="Q348" s="11">
        <v>20</v>
      </c>
      <c r="R348" s="11">
        <v>1</v>
      </c>
      <c r="S348" s="11">
        <v>15</v>
      </c>
      <c r="T348" s="38">
        <v>50</v>
      </c>
      <c r="U348" s="38">
        <v>50</v>
      </c>
      <c r="V348" s="4">
        <f t="shared" si="81"/>
        <v>1</v>
      </c>
      <c r="W348" s="11">
        <v>30</v>
      </c>
      <c r="X348" s="38">
        <v>1</v>
      </c>
      <c r="Y348" s="38">
        <v>1</v>
      </c>
      <c r="Z348" s="4">
        <f t="shared" si="82"/>
        <v>1</v>
      </c>
      <c r="AA348" s="11">
        <v>20</v>
      </c>
      <c r="AB348" s="50">
        <f t="shared" si="87"/>
        <v>0.95213058234121639</v>
      </c>
      <c r="AC348" s="50">
        <f t="shared" si="88"/>
        <v>0.95213058234121639</v>
      </c>
      <c r="AD348" s="51">
        <v>471</v>
      </c>
      <c r="AE348" s="38">
        <f t="shared" si="83"/>
        <v>42.81818181818182</v>
      </c>
      <c r="AF348" s="38">
        <f t="shared" si="84"/>
        <v>40.799999999999997</v>
      </c>
      <c r="AG348" s="38">
        <f t="shared" si="78"/>
        <v>-2.018181818181823</v>
      </c>
      <c r="AH348" s="38">
        <v>0.8</v>
      </c>
      <c r="AI348" s="38">
        <f t="shared" si="85"/>
        <v>41.599999999999994</v>
      </c>
      <c r="AJ348" s="38"/>
      <c r="AK348" s="38">
        <f t="shared" si="86"/>
        <v>41.6</v>
      </c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10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10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10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10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10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10"/>
      <c r="GJ348" s="9"/>
      <c r="GK348" s="9"/>
    </row>
    <row r="349" spans="1:193" s="2" customFormat="1" ht="16.95" customHeight="1">
      <c r="A349" s="53" t="s">
        <v>342</v>
      </c>
      <c r="B349" s="38">
        <v>23860</v>
      </c>
      <c r="C349" s="38">
        <v>20994.5</v>
      </c>
      <c r="D349" s="4">
        <f t="shared" si="79"/>
        <v>0.87990360435875947</v>
      </c>
      <c r="E349" s="11">
        <v>10</v>
      </c>
      <c r="F349" s="5" t="s">
        <v>371</v>
      </c>
      <c r="G349" s="5" t="s">
        <v>371</v>
      </c>
      <c r="H349" s="5" t="s">
        <v>371</v>
      </c>
      <c r="I349" s="5" t="s">
        <v>371</v>
      </c>
      <c r="J349" s="5" t="s">
        <v>371</v>
      </c>
      <c r="K349" s="5" t="s">
        <v>371</v>
      </c>
      <c r="L349" s="5" t="s">
        <v>371</v>
      </c>
      <c r="M349" s="5" t="s">
        <v>371</v>
      </c>
      <c r="N349" s="38">
        <v>1051.8</v>
      </c>
      <c r="O349" s="38">
        <v>969.4</v>
      </c>
      <c r="P349" s="4">
        <f t="shared" si="80"/>
        <v>0.92165810990682639</v>
      </c>
      <c r="Q349" s="11">
        <v>20</v>
      </c>
      <c r="R349" s="11">
        <v>1</v>
      </c>
      <c r="S349" s="11">
        <v>15</v>
      </c>
      <c r="T349" s="38">
        <v>15</v>
      </c>
      <c r="U349" s="38">
        <v>16.399999999999999</v>
      </c>
      <c r="V349" s="4">
        <f t="shared" si="81"/>
        <v>1.0933333333333333</v>
      </c>
      <c r="W349" s="11">
        <v>20</v>
      </c>
      <c r="X349" s="38">
        <v>3</v>
      </c>
      <c r="Y349" s="38">
        <v>3</v>
      </c>
      <c r="Z349" s="4">
        <f t="shared" si="82"/>
        <v>1</v>
      </c>
      <c r="AA349" s="11">
        <v>30</v>
      </c>
      <c r="AB349" s="50">
        <f t="shared" si="87"/>
        <v>0.99051436745674526</v>
      </c>
      <c r="AC349" s="50">
        <f t="shared" si="88"/>
        <v>0.99051436745674526</v>
      </c>
      <c r="AD349" s="51">
        <v>4064</v>
      </c>
      <c r="AE349" s="38">
        <f t="shared" si="83"/>
        <v>369.45454545454544</v>
      </c>
      <c r="AF349" s="38">
        <f t="shared" si="84"/>
        <v>366</v>
      </c>
      <c r="AG349" s="38">
        <f t="shared" si="78"/>
        <v>-3.454545454545439</v>
      </c>
      <c r="AH349" s="38">
        <v>4.5</v>
      </c>
      <c r="AI349" s="38">
        <f t="shared" si="85"/>
        <v>370.5</v>
      </c>
      <c r="AJ349" s="38"/>
      <c r="AK349" s="38">
        <f t="shared" si="86"/>
        <v>370.5</v>
      </c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10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10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10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10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10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10"/>
      <c r="GJ349" s="9"/>
      <c r="GK349" s="9"/>
    </row>
    <row r="350" spans="1:193" s="2" customFormat="1" ht="16.95" customHeight="1">
      <c r="A350" s="53" t="s">
        <v>343</v>
      </c>
      <c r="B350" s="38">
        <v>53</v>
      </c>
      <c r="C350" s="38">
        <v>56</v>
      </c>
      <c r="D350" s="4">
        <f t="shared" si="79"/>
        <v>1.0566037735849056</v>
      </c>
      <c r="E350" s="11">
        <v>10</v>
      </c>
      <c r="F350" s="5" t="s">
        <v>371</v>
      </c>
      <c r="G350" s="5" t="s">
        <v>371</v>
      </c>
      <c r="H350" s="5" t="s">
        <v>371</v>
      </c>
      <c r="I350" s="5" t="s">
        <v>371</v>
      </c>
      <c r="J350" s="5" t="s">
        <v>371</v>
      </c>
      <c r="K350" s="5" t="s">
        <v>371</v>
      </c>
      <c r="L350" s="5" t="s">
        <v>371</v>
      </c>
      <c r="M350" s="5" t="s">
        <v>371</v>
      </c>
      <c r="N350" s="38">
        <v>146.69999999999999</v>
      </c>
      <c r="O350" s="38">
        <v>10.6</v>
      </c>
      <c r="P350" s="4">
        <f t="shared" si="80"/>
        <v>7.2256305385139746E-2</v>
      </c>
      <c r="Q350" s="11">
        <v>20</v>
      </c>
      <c r="R350" s="11">
        <v>1</v>
      </c>
      <c r="S350" s="11">
        <v>15</v>
      </c>
      <c r="T350" s="38">
        <v>35</v>
      </c>
      <c r="U350" s="38">
        <v>35</v>
      </c>
      <c r="V350" s="4">
        <f t="shared" si="81"/>
        <v>1</v>
      </c>
      <c r="W350" s="11">
        <v>30</v>
      </c>
      <c r="X350" s="38">
        <v>4</v>
      </c>
      <c r="Y350" s="38">
        <v>4</v>
      </c>
      <c r="Z350" s="4">
        <f t="shared" si="82"/>
        <v>1</v>
      </c>
      <c r="AA350" s="11">
        <v>20</v>
      </c>
      <c r="AB350" s="50">
        <f t="shared" si="87"/>
        <v>0.8106438299321248</v>
      </c>
      <c r="AC350" s="50">
        <f t="shared" si="88"/>
        <v>0.8106438299321248</v>
      </c>
      <c r="AD350" s="51">
        <v>679</v>
      </c>
      <c r="AE350" s="38">
        <f t="shared" si="83"/>
        <v>61.727272727272727</v>
      </c>
      <c r="AF350" s="38">
        <f t="shared" si="84"/>
        <v>50</v>
      </c>
      <c r="AG350" s="38">
        <f t="shared" si="78"/>
        <v>-11.727272727272727</v>
      </c>
      <c r="AH350" s="38">
        <v>-6.9</v>
      </c>
      <c r="AI350" s="38">
        <f t="shared" si="85"/>
        <v>43.1</v>
      </c>
      <c r="AJ350" s="38"/>
      <c r="AK350" s="38">
        <f t="shared" si="86"/>
        <v>43.1</v>
      </c>
    </row>
    <row r="351" spans="1:193" s="2" customFormat="1" ht="16.95" customHeight="1">
      <c r="A351" s="53" t="s">
        <v>344</v>
      </c>
      <c r="B351" s="38">
        <v>42</v>
      </c>
      <c r="C351" s="38">
        <v>34.9</v>
      </c>
      <c r="D351" s="4">
        <f t="shared" si="79"/>
        <v>0.83095238095238089</v>
      </c>
      <c r="E351" s="11">
        <v>10</v>
      </c>
      <c r="F351" s="5" t="s">
        <v>371</v>
      </c>
      <c r="G351" s="5" t="s">
        <v>371</v>
      </c>
      <c r="H351" s="5" t="s">
        <v>371</v>
      </c>
      <c r="I351" s="5" t="s">
        <v>371</v>
      </c>
      <c r="J351" s="5" t="s">
        <v>371</v>
      </c>
      <c r="K351" s="5" t="s">
        <v>371</v>
      </c>
      <c r="L351" s="5" t="s">
        <v>371</v>
      </c>
      <c r="M351" s="5" t="s">
        <v>371</v>
      </c>
      <c r="N351" s="38">
        <v>137.4</v>
      </c>
      <c r="O351" s="38">
        <v>112.8</v>
      </c>
      <c r="P351" s="4">
        <f t="shared" si="80"/>
        <v>0.82096069868995625</v>
      </c>
      <c r="Q351" s="11">
        <v>20</v>
      </c>
      <c r="R351" s="11">
        <v>1</v>
      </c>
      <c r="S351" s="11">
        <v>15</v>
      </c>
      <c r="T351" s="38">
        <v>39</v>
      </c>
      <c r="U351" s="38">
        <v>39</v>
      </c>
      <c r="V351" s="4">
        <f t="shared" si="81"/>
        <v>1</v>
      </c>
      <c r="W351" s="11">
        <v>25</v>
      </c>
      <c r="X351" s="38">
        <v>2</v>
      </c>
      <c r="Y351" s="38">
        <v>2</v>
      </c>
      <c r="Z351" s="4">
        <f t="shared" si="82"/>
        <v>1</v>
      </c>
      <c r="AA351" s="11">
        <v>25</v>
      </c>
      <c r="AB351" s="50">
        <f t="shared" si="87"/>
        <v>0.94451302929813619</v>
      </c>
      <c r="AC351" s="50">
        <f t="shared" si="88"/>
        <v>0.94451302929813619</v>
      </c>
      <c r="AD351" s="51">
        <v>2068</v>
      </c>
      <c r="AE351" s="38">
        <f t="shared" si="83"/>
        <v>188</v>
      </c>
      <c r="AF351" s="38">
        <f t="shared" si="84"/>
        <v>177.6</v>
      </c>
      <c r="AG351" s="38">
        <f t="shared" si="78"/>
        <v>-10.400000000000006</v>
      </c>
      <c r="AH351" s="38">
        <v>2.1</v>
      </c>
      <c r="AI351" s="38">
        <f t="shared" si="85"/>
        <v>179.7</v>
      </c>
      <c r="AJ351" s="38"/>
      <c r="AK351" s="38">
        <f t="shared" si="86"/>
        <v>179.7</v>
      </c>
    </row>
    <row r="352" spans="1:193" s="2" customFormat="1" ht="16.95" customHeight="1">
      <c r="A352" s="19" t="s">
        <v>345</v>
      </c>
      <c r="B352" s="72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</row>
    <row r="353" spans="1:37" s="2" customFormat="1" ht="16.95" customHeight="1">
      <c r="A353" s="53" t="s">
        <v>346</v>
      </c>
      <c r="B353" s="38">
        <v>35</v>
      </c>
      <c r="C353" s="38">
        <v>36</v>
      </c>
      <c r="D353" s="4">
        <f t="shared" si="79"/>
        <v>1.0285714285714285</v>
      </c>
      <c r="E353" s="11">
        <v>10</v>
      </c>
      <c r="F353" s="5" t="s">
        <v>371</v>
      </c>
      <c r="G353" s="5" t="s">
        <v>371</v>
      </c>
      <c r="H353" s="5" t="s">
        <v>371</v>
      </c>
      <c r="I353" s="5" t="s">
        <v>371</v>
      </c>
      <c r="J353" s="5" t="s">
        <v>371</v>
      </c>
      <c r="K353" s="5" t="s">
        <v>371</v>
      </c>
      <c r="L353" s="5" t="s">
        <v>371</v>
      </c>
      <c r="M353" s="5" t="s">
        <v>371</v>
      </c>
      <c r="N353" s="38">
        <v>48.9</v>
      </c>
      <c r="O353" s="38">
        <v>52.3</v>
      </c>
      <c r="P353" s="4">
        <f t="shared" si="80"/>
        <v>1.0695296523517381</v>
      </c>
      <c r="Q353" s="11">
        <v>20</v>
      </c>
      <c r="R353" s="11">
        <v>1</v>
      </c>
      <c r="S353" s="11">
        <v>15</v>
      </c>
      <c r="T353" s="38">
        <v>20</v>
      </c>
      <c r="U353" s="38">
        <v>23.8</v>
      </c>
      <c r="V353" s="4">
        <f t="shared" si="81"/>
        <v>1.19</v>
      </c>
      <c r="W353" s="11">
        <v>15</v>
      </c>
      <c r="X353" s="38">
        <v>0.5</v>
      </c>
      <c r="Y353" s="38">
        <v>0.7</v>
      </c>
      <c r="Z353" s="4">
        <f t="shared" si="82"/>
        <v>1.4</v>
      </c>
      <c r="AA353" s="11">
        <v>35</v>
      </c>
      <c r="AB353" s="50">
        <f t="shared" si="87"/>
        <v>1.1950137613973584</v>
      </c>
      <c r="AC353" s="50">
        <f t="shared" si="88"/>
        <v>1.1950137613973584</v>
      </c>
      <c r="AD353" s="51">
        <v>633</v>
      </c>
      <c r="AE353" s="38">
        <f t="shared" si="83"/>
        <v>57.545454545454547</v>
      </c>
      <c r="AF353" s="38">
        <f t="shared" si="84"/>
        <v>68.8</v>
      </c>
      <c r="AG353" s="38">
        <f t="shared" si="78"/>
        <v>11.25454545454545</v>
      </c>
      <c r="AH353" s="38">
        <v>-5.2</v>
      </c>
      <c r="AI353" s="38">
        <f t="shared" si="85"/>
        <v>63.599999999999994</v>
      </c>
      <c r="AJ353" s="38"/>
      <c r="AK353" s="38">
        <f t="shared" si="86"/>
        <v>63.6</v>
      </c>
    </row>
    <row r="354" spans="1:37" s="2" customFormat="1" ht="16.95" customHeight="1">
      <c r="A354" s="53" t="s">
        <v>54</v>
      </c>
      <c r="B354" s="38">
        <v>0</v>
      </c>
      <c r="C354" s="38">
        <v>23.6</v>
      </c>
      <c r="D354" s="4">
        <f t="shared" si="79"/>
        <v>0</v>
      </c>
      <c r="E354" s="11">
        <v>0</v>
      </c>
      <c r="F354" s="5" t="s">
        <v>371</v>
      </c>
      <c r="G354" s="5" t="s">
        <v>371</v>
      </c>
      <c r="H354" s="5" t="s">
        <v>371</v>
      </c>
      <c r="I354" s="5" t="s">
        <v>371</v>
      </c>
      <c r="J354" s="5" t="s">
        <v>371</v>
      </c>
      <c r="K354" s="5" t="s">
        <v>371</v>
      </c>
      <c r="L354" s="5" t="s">
        <v>371</v>
      </c>
      <c r="M354" s="5" t="s">
        <v>371</v>
      </c>
      <c r="N354" s="38">
        <v>324.10000000000002</v>
      </c>
      <c r="O354" s="38">
        <v>94</v>
      </c>
      <c r="P354" s="4">
        <f t="shared" si="80"/>
        <v>0.29003394014193146</v>
      </c>
      <c r="Q354" s="11">
        <v>20</v>
      </c>
      <c r="R354" s="11">
        <v>1</v>
      </c>
      <c r="S354" s="11">
        <v>15</v>
      </c>
      <c r="T354" s="38">
        <v>37</v>
      </c>
      <c r="U354" s="38">
        <v>44.4</v>
      </c>
      <c r="V354" s="4">
        <f t="shared" si="81"/>
        <v>1.2</v>
      </c>
      <c r="W354" s="11">
        <v>30</v>
      </c>
      <c r="X354" s="38">
        <v>2</v>
      </c>
      <c r="Y354" s="38">
        <v>2.9</v>
      </c>
      <c r="Z354" s="4">
        <f t="shared" si="82"/>
        <v>1.45</v>
      </c>
      <c r="AA354" s="11">
        <v>20</v>
      </c>
      <c r="AB354" s="50">
        <f t="shared" si="87"/>
        <v>1.0094197506216309</v>
      </c>
      <c r="AC354" s="50">
        <f t="shared" si="88"/>
        <v>1.0094197506216309</v>
      </c>
      <c r="AD354" s="51">
        <v>357</v>
      </c>
      <c r="AE354" s="38">
        <f t="shared" si="83"/>
        <v>32.454545454545453</v>
      </c>
      <c r="AF354" s="38">
        <f t="shared" si="84"/>
        <v>32.799999999999997</v>
      </c>
      <c r="AG354" s="38">
        <f t="shared" si="78"/>
        <v>0.3454545454545439</v>
      </c>
      <c r="AH354" s="38">
        <v>-0.5</v>
      </c>
      <c r="AI354" s="38">
        <f t="shared" si="85"/>
        <v>32.299999999999997</v>
      </c>
      <c r="AJ354" s="38">
        <f>MIN($AI354,44)</f>
        <v>32.299999999999997</v>
      </c>
      <c r="AK354" s="38">
        <f t="shared" si="86"/>
        <v>0</v>
      </c>
    </row>
    <row r="355" spans="1:37" s="2" customFormat="1" ht="16.95" customHeight="1">
      <c r="A355" s="53" t="s">
        <v>347</v>
      </c>
      <c r="B355" s="38">
        <v>80</v>
      </c>
      <c r="C355" s="38">
        <v>90.6</v>
      </c>
      <c r="D355" s="4">
        <f t="shared" si="79"/>
        <v>1.1324999999999998</v>
      </c>
      <c r="E355" s="11">
        <v>10</v>
      </c>
      <c r="F355" s="5" t="s">
        <v>371</v>
      </c>
      <c r="G355" s="5" t="s">
        <v>371</v>
      </c>
      <c r="H355" s="5" t="s">
        <v>371</v>
      </c>
      <c r="I355" s="5" t="s">
        <v>371</v>
      </c>
      <c r="J355" s="5" t="s">
        <v>371</v>
      </c>
      <c r="K355" s="5" t="s">
        <v>371</v>
      </c>
      <c r="L355" s="5" t="s">
        <v>371</v>
      </c>
      <c r="M355" s="5" t="s">
        <v>371</v>
      </c>
      <c r="N355" s="38">
        <v>153.69999999999999</v>
      </c>
      <c r="O355" s="38">
        <v>92.7</v>
      </c>
      <c r="P355" s="4">
        <f t="shared" si="80"/>
        <v>0.60312296681847766</v>
      </c>
      <c r="Q355" s="11">
        <v>20</v>
      </c>
      <c r="R355" s="11">
        <v>1</v>
      </c>
      <c r="S355" s="11">
        <v>15</v>
      </c>
      <c r="T355" s="38">
        <v>30</v>
      </c>
      <c r="U355" s="38">
        <v>36</v>
      </c>
      <c r="V355" s="4">
        <f t="shared" si="81"/>
        <v>1.2</v>
      </c>
      <c r="W355" s="11">
        <v>30</v>
      </c>
      <c r="X355" s="38">
        <v>0.6</v>
      </c>
      <c r="Y355" s="38">
        <v>0.8</v>
      </c>
      <c r="Z355" s="4">
        <f t="shared" si="82"/>
        <v>1.3333333333333335</v>
      </c>
      <c r="AA355" s="11">
        <v>20</v>
      </c>
      <c r="AB355" s="50">
        <f t="shared" si="87"/>
        <v>1.0637276421372233</v>
      </c>
      <c r="AC355" s="50">
        <f t="shared" si="88"/>
        <v>1.0637276421372233</v>
      </c>
      <c r="AD355" s="51">
        <v>2080</v>
      </c>
      <c r="AE355" s="38">
        <f t="shared" si="83"/>
        <v>189.09090909090909</v>
      </c>
      <c r="AF355" s="38">
        <f t="shared" si="84"/>
        <v>201.1</v>
      </c>
      <c r="AG355" s="38">
        <f t="shared" si="78"/>
        <v>12.009090909090901</v>
      </c>
      <c r="AH355" s="38">
        <v>-16.5</v>
      </c>
      <c r="AI355" s="38">
        <f t="shared" si="85"/>
        <v>184.6</v>
      </c>
      <c r="AJ355" s="38"/>
      <c r="AK355" s="38">
        <f t="shared" si="86"/>
        <v>184.6</v>
      </c>
    </row>
    <row r="356" spans="1:37" s="2" customFormat="1" ht="16.95" customHeight="1">
      <c r="A356" s="53" t="s">
        <v>348</v>
      </c>
      <c r="B356" s="38">
        <v>2008</v>
      </c>
      <c r="C356" s="38">
        <v>2809.9</v>
      </c>
      <c r="D356" s="4">
        <f t="shared" si="79"/>
        <v>1.3993525896414343</v>
      </c>
      <c r="E356" s="11">
        <v>10</v>
      </c>
      <c r="F356" s="5" t="s">
        <v>371</v>
      </c>
      <c r="G356" s="5" t="s">
        <v>371</v>
      </c>
      <c r="H356" s="5" t="s">
        <v>371</v>
      </c>
      <c r="I356" s="5" t="s">
        <v>371</v>
      </c>
      <c r="J356" s="5" t="s">
        <v>371</v>
      </c>
      <c r="K356" s="5" t="s">
        <v>371</v>
      </c>
      <c r="L356" s="5" t="s">
        <v>371</v>
      </c>
      <c r="M356" s="5" t="s">
        <v>371</v>
      </c>
      <c r="N356" s="38">
        <v>149</v>
      </c>
      <c r="O356" s="38">
        <v>121</v>
      </c>
      <c r="P356" s="4">
        <f t="shared" si="80"/>
        <v>0.81208053691275173</v>
      </c>
      <c r="Q356" s="11">
        <v>20</v>
      </c>
      <c r="R356" s="11">
        <v>1</v>
      </c>
      <c r="S356" s="11">
        <v>15</v>
      </c>
      <c r="T356" s="38">
        <v>215</v>
      </c>
      <c r="U356" s="38">
        <v>219.7</v>
      </c>
      <c r="V356" s="4">
        <f t="shared" si="81"/>
        <v>1.021860465116279</v>
      </c>
      <c r="W356" s="11">
        <v>30</v>
      </c>
      <c r="X356" s="38">
        <v>3.5</v>
      </c>
      <c r="Y356" s="38">
        <v>3.7</v>
      </c>
      <c r="Z356" s="4">
        <f t="shared" si="82"/>
        <v>1.0571428571428572</v>
      </c>
      <c r="AA356" s="11">
        <v>20</v>
      </c>
      <c r="AB356" s="50">
        <f t="shared" si="87"/>
        <v>1.0214085024317356</v>
      </c>
      <c r="AC356" s="50">
        <f t="shared" si="88"/>
        <v>1.0214085024317356</v>
      </c>
      <c r="AD356" s="51">
        <v>697</v>
      </c>
      <c r="AE356" s="38">
        <f t="shared" si="83"/>
        <v>63.363636363636367</v>
      </c>
      <c r="AF356" s="38">
        <f t="shared" si="84"/>
        <v>64.7</v>
      </c>
      <c r="AG356" s="38">
        <f t="shared" si="78"/>
        <v>1.336363636363636</v>
      </c>
      <c r="AH356" s="38">
        <v>-9.6999999999999993</v>
      </c>
      <c r="AI356" s="38">
        <f t="shared" si="85"/>
        <v>55</v>
      </c>
      <c r="AJ356" s="38"/>
      <c r="AK356" s="38">
        <f t="shared" si="86"/>
        <v>55</v>
      </c>
    </row>
    <row r="357" spans="1:37" s="2" customFormat="1" ht="16.95" customHeight="1">
      <c r="A357" s="53" t="s">
        <v>349</v>
      </c>
      <c r="B357" s="38">
        <v>45084</v>
      </c>
      <c r="C357" s="38">
        <v>42885</v>
      </c>
      <c r="D357" s="4">
        <f t="shared" si="79"/>
        <v>0.95122438115517705</v>
      </c>
      <c r="E357" s="11">
        <v>10</v>
      </c>
      <c r="F357" s="5" t="s">
        <v>371</v>
      </c>
      <c r="G357" s="5" t="s">
        <v>371</v>
      </c>
      <c r="H357" s="5" t="s">
        <v>371</v>
      </c>
      <c r="I357" s="5" t="s">
        <v>371</v>
      </c>
      <c r="J357" s="5" t="s">
        <v>371</v>
      </c>
      <c r="K357" s="5" t="s">
        <v>371</v>
      </c>
      <c r="L357" s="5" t="s">
        <v>371</v>
      </c>
      <c r="M357" s="5" t="s">
        <v>371</v>
      </c>
      <c r="N357" s="38">
        <v>233.5</v>
      </c>
      <c r="O357" s="38">
        <v>90.2</v>
      </c>
      <c r="P357" s="4">
        <f t="shared" si="80"/>
        <v>0.38629550321199146</v>
      </c>
      <c r="Q357" s="11">
        <v>20</v>
      </c>
      <c r="R357" s="11">
        <v>1</v>
      </c>
      <c r="S357" s="11">
        <v>15</v>
      </c>
      <c r="T357" s="38">
        <v>11</v>
      </c>
      <c r="U357" s="38">
        <v>11</v>
      </c>
      <c r="V357" s="4">
        <f t="shared" si="81"/>
        <v>1</v>
      </c>
      <c r="W357" s="11">
        <v>25</v>
      </c>
      <c r="X357" s="38">
        <v>0.5</v>
      </c>
      <c r="Y357" s="38">
        <v>0.6</v>
      </c>
      <c r="Z357" s="4">
        <f t="shared" si="82"/>
        <v>1.2</v>
      </c>
      <c r="AA357" s="11">
        <v>25</v>
      </c>
      <c r="AB357" s="50">
        <f t="shared" si="87"/>
        <v>0.91829635658727993</v>
      </c>
      <c r="AC357" s="50">
        <f t="shared" si="88"/>
        <v>0.91829635658727993</v>
      </c>
      <c r="AD357" s="51">
        <v>470</v>
      </c>
      <c r="AE357" s="38">
        <f t="shared" si="83"/>
        <v>42.727272727272727</v>
      </c>
      <c r="AF357" s="38">
        <f t="shared" si="84"/>
        <v>39.200000000000003</v>
      </c>
      <c r="AG357" s="38">
        <f t="shared" si="78"/>
        <v>-3.5272727272727238</v>
      </c>
      <c r="AH357" s="38">
        <v>5.4</v>
      </c>
      <c r="AI357" s="38">
        <f t="shared" si="85"/>
        <v>44.6</v>
      </c>
      <c r="AJ357" s="38"/>
      <c r="AK357" s="38">
        <f t="shared" si="86"/>
        <v>44.6</v>
      </c>
    </row>
    <row r="358" spans="1:37" s="2" customFormat="1" ht="16.95" customHeight="1">
      <c r="A358" s="53" t="s">
        <v>350</v>
      </c>
      <c r="B358" s="38">
        <v>0</v>
      </c>
      <c r="C358" s="38">
        <v>0</v>
      </c>
      <c r="D358" s="4">
        <f t="shared" si="79"/>
        <v>0</v>
      </c>
      <c r="E358" s="11">
        <v>0</v>
      </c>
      <c r="F358" s="5" t="s">
        <v>371</v>
      </c>
      <c r="G358" s="5" t="s">
        <v>371</v>
      </c>
      <c r="H358" s="5" t="s">
        <v>371</v>
      </c>
      <c r="I358" s="5" t="s">
        <v>371</v>
      </c>
      <c r="J358" s="5" t="s">
        <v>371</v>
      </c>
      <c r="K358" s="5" t="s">
        <v>371</v>
      </c>
      <c r="L358" s="5" t="s">
        <v>371</v>
      </c>
      <c r="M358" s="5" t="s">
        <v>371</v>
      </c>
      <c r="N358" s="38">
        <v>38.5</v>
      </c>
      <c r="O358" s="38">
        <v>4.0999999999999996</v>
      </c>
      <c r="P358" s="4">
        <f t="shared" si="80"/>
        <v>0.10649350649350649</v>
      </c>
      <c r="Q358" s="11">
        <v>20</v>
      </c>
      <c r="R358" s="11">
        <v>1</v>
      </c>
      <c r="S358" s="11">
        <v>15</v>
      </c>
      <c r="T358" s="38">
        <v>25</v>
      </c>
      <c r="U358" s="38">
        <v>25</v>
      </c>
      <c r="V358" s="4">
        <f t="shared" si="81"/>
        <v>1</v>
      </c>
      <c r="W358" s="11">
        <v>30</v>
      </c>
      <c r="X358" s="38">
        <v>0.2</v>
      </c>
      <c r="Y358" s="38">
        <v>0.2</v>
      </c>
      <c r="Z358" s="4">
        <f t="shared" si="82"/>
        <v>1</v>
      </c>
      <c r="AA358" s="11">
        <v>20</v>
      </c>
      <c r="AB358" s="50">
        <f t="shared" si="87"/>
        <v>0.78976317799847207</v>
      </c>
      <c r="AC358" s="50">
        <f t="shared" si="88"/>
        <v>0.78976317799847207</v>
      </c>
      <c r="AD358" s="51">
        <v>28</v>
      </c>
      <c r="AE358" s="38">
        <f t="shared" si="83"/>
        <v>2.5454545454545454</v>
      </c>
      <c r="AF358" s="38">
        <f t="shared" si="84"/>
        <v>2</v>
      </c>
      <c r="AG358" s="38">
        <f t="shared" si="78"/>
        <v>-0.54545454545454541</v>
      </c>
      <c r="AH358" s="38">
        <v>-0.3</v>
      </c>
      <c r="AI358" s="38">
        <f t="shared" si="85"/>
        <v>1.7</v>
      </c>
      <c r="AJ358" s="38"/>
      <c r="AK358" s="38">
        <f t="shared" si="86"/>
        <v>1.7</v>
      </c>
    </row>
    <row r="359" spans="1:37" s="2" customFormat="1" ht="16.95" customHeight="1">
      <c r="A359" s="53" t="s">
        <v>351</v>
      </c>
      <c r="B359" s="38">
        <v>37</v>
      </c>
      <c r="C359" s="38">
        <v>64</v>
      </c>
      <c r="D359" s="4">
        <f t="shared" si="79"/>
        <v>1.7297297297297298</v>
      </c>
      <c r="E359" s="11">
        <v>10</v>
      </c>
      <c r="F359" s="5" t="s">
        <v>371</v>
      </c>
      <c r="G359" s="5" t="s">
        <v>371</v>
      </c>
      <c r="H359" s="5" t="s">
        <v>371</v>
      </c>
      <c r="I359" s="5" t="s">
        <v>371</v>
      </c>
      <c r="J359" s="5" t="s">
        <v>371</v>
      </c>
      <c r="K359" s="5" t="s">
        <v>371</v>
      </c>
      <c r="L359" s="5" t="s">
        <v>371</v>
      </c>
      <c r="M359" s="5" t="s">
        <v>371</v>
      </c>
      <c r="N359" s="38">
        <v>1539.1</v>
      </c>
      <c r="O359" s="38">
        <v>1271.8</v>
      </c>
      <c r="P359" s="4">
        <f t="shared" si="80"/>
        <v>0.82632707426418039</v>
      </c>
      <c r="Q359" s="11">
        <v>20</v>
      </c>
      <c r="R359" s="11">
        <v>1</v>
      </c>
      <c r="S359" s="11">
        <v>15</v>
      </c>
      <c r="T359" s="38">
        <v>143</v>
      </c>
      <c r="U359" s="38">
        <v>144.9</v>
      </c>
      <c r="V359" s="4">
        <f t="shared" si="81"/>
        <v>1.0132867132867134</v>
      </c>
      <c r="W359" s="11">
        <v>30</v>
      </c>
      <c r="X359" s="38">
        <v>4</v>
      </c>
      <c r="Y359" s="38">
        <v>1</v>
      </c>
      <c r="Z359" s="4">
        <f t="shared" si="82"/>
        <v>0.25</v>
      </c>
      <c r="AA359" s="11">
        <v>20</v>
      </c>
      <c r="AB359" s="50">
        <f t="shared" si="87"/>
        <v>0.8865520019071822</v>
      </c>
      <c r="AC359" s="50">
        <f t="shared" si="88"/>
        <v>0.8865520019071822</v>
      </c>
      <c r="AD359" s="51">
        <v>119</v>
      </c>
      <c r="AE359" s="38">
        <f t="shared" si="83"/>
        <v>10.818181818181818</v>
      </c>
      <c r="AF359" s="38">
        <f t="shared" si="84"/>
        <v>9.6</v>
      </c>
      <c r="AG359" s="38">
        <f t="shared" si="78"/>
        <v>-1.2181818181818187</v>
      </c>
      <c r="AH359" s="38">
        <v>-0.1</v>
      </c>
      <c r="AI359" s="38">
        <f t="shared" si="85"/>
        <v>9.5</v>
      </c>
      <c r="AJ359" s="38">
        <f>MIN($AI359,71.1)</f>
        <v>9.5</v>
      </c>
      <c r="AK359" s="38">
        <f t="shared" si="86"/>
        <v>0</v>
      </c>
    </row>
    <row r="360" spans="1:37" s="2" customFormat="1" ht="16.95" customHeight="1">
      <c r="A360" s="53" t="s">
        <v>352</v>
      </c>
      <c r="B360" s="38">
        <v>32</v>
      </c>
      <c r="C360" s="38">
        <v>28</v>
      </c>
      <c r="D360" s="4">
        <f t="shared" si="79"/>
        <v>0.875</v>
      </c>
      <c r="E360" s="11">
        <v>10</v>
      </c>
      <c r="F360" s="5" t="s">
        <v>371</v>
      </c>
      <c r="G360" s="5" t="s">
        <v>371</v>
      </c>
      <c r="H360" s="5" t="s">
        <v>371</v>
      </c>
      <c r="I360" s="5" t="s">
        <v>371</v>
      </c>
      <c r="J360" s="5" t="s">
        <v>371</v>
      </c>
      <c r="K360" s="5" t="s">
        <v>371</v>
      </c>
      <c r="L360" s="5" t="s">
        <v>371</v>
      </c>
      <c r="M360" s="5" t="s">
        <v>371</v>
      </c>
      <c r="N360" s="38">
        <v>785.7</v>
      </c>
      <c r="O360" s="38">
        <v>441.3</v>
      </c>
      <c r="P360" s="4">
        <f t="shared" si="80"/>
        <v>0.56166475754104617</v>
      </c>
      <c r="Q360" s="11">
        <v>20</v>
      </c>
      <c r="R360" s="11">
        <v>1</v>
      </c>
      <c r="S360" s="11">
        <v>15</v>
      </c>
      <c r="T360" s="38">
        <v>9</v>
      </c>
      <c r="U360" s="38">
        <v>9</v>
      </c>
      <c r="V360" s="4">
        <f t="shared" si="81"/>
        <v>1</v>
      </c>
      <c r="W360" s="11">
        <v>20</v>
      </c>
      <c r="X360" s="38">
        <v>0.5</v>
      </c>
      <c r="Y360" s="38">
        <v>0.6</v>
      </c>
      <c r="Z360" s="4">
        <f t="shared" si="82"/>
        <v>1.2</v>
      </c>
      <c r="AA360" s="11">
        <v>30</v>
      </c>
      <c r="AB360" s="50">
        <f t="shared" si="87"/>
        <v>0.95771889632443075</v>
      </c>
      <c r="AC360" s="50">
        <f t="shared" si="88"/>
        <v>0.95771889632443075</v>
      </c>
      <c r="AD360" s="51">
        <v>1094</v>
      </c>
      <c r="AE360" s="38">
        <f t="shared" si="83"/>
        <v>99.454545454545453</v>
      </c>
      <c r="AF360" s="38">
        <f t="shared" si="84"/>
        <v>95.2</v>
      </c>
      <c r="AG360" s="38">
        <f t="shared" si="78"/>
        <v>-4.2545454545454504</v>
      </c>
      <c r="AH360" s="38">
        <v>-8.6999999999999993</v>
      </c>
      <c r="AI360" s="38">
        <f t="shared" si="85"/>
        <v>86.5</v>
      </c>
      <c r="AJ360" s="38"/>
      <c r="AK360" s="38">
        <f t="shared" si="86"/>
        <v>86.5</v>
      </c>
    </row>
    <row r="361" spans="1:37" s="2" customFormat="1" ht="16.95" customHeight="1">
      <c r="A361" s="53" t="s">
        <v>353</v>
      </c>
      <c r="B361" s="38">
        <v>45</v>
      </c>
      <c r="C361" s="38">
        <v>35</v>
      </c>
      <c r="D361" s="4">
        <f t="shared" si="79"/>
        <v>0.77777777777777779</v>
      </c>
      <c r="E361" s="11">
        <v>10</v>
      </c>
      <c r="F361" s="5" t="s">
        <v>371</v>
      </c>
      <c r="G361" s="5" t="s">
        <v>371</v>
      </c>
      <c r="H361" s="5" t="s">
        <v>371</v>
      </c>
      <c r="I361" s="5" t="s">
        <v>371</v>
      </c>
      <c r="J361" s="5" t="s">
        <v>371</v>
      </c>
      <c r="K361" s="5" t="s">
        <v>371</v>
      </c>
      <c r="L361" s="5" t="s">
        <v>371</v>
      </c>
      <c r="M361" s="5" t="s">
        <v>371</v>
      </c>
      <c r="N361" s="38">
        <v>323.89999999999998</v>
      </c>
      <c r="O361" s="38">
        <v>28.5</v>
      </c>
      <c r="P361" s="4">
        <f t="shared" si="80"/>
        <v>8.7990120407533193E-2</v>
      </c>
      <c r="Q361" s="11">
        <v>20</v>
      </c>
      <c r="R361" s="11">
        <v>1</v>
      </c>
      <c r="S361" s="11">
        <v>15</v>
      </c>
      <c r="T361" s="38">
        <v>29</v>
      </c>
      <c r="U361" s="38">
        <v>29</v>
      </c>
      <c r="V361" s="4">
        <f t="shared" si="81"/>
        <v>1</v>
      </c>
      <c r="W361" s="11">
        <v>15</v>
      </c>
      <c r="X361" s="38">
        <v>2</v>
      </c>
      <c r="Y361" s="38">
        <v>2.1</v>
      </c>
      <c r="Z361" s="4">
        <f t="shared" si="82"/>
        <v>1.05</v>
      </c>
      <c r="AA361" s="11">
        <v>35</v>
      </c>
      <c r="AB361" s="50">
        <f t="shared" si="87"/>
        <v>0.80302715985187845</v>
      </c>
      <c r="AC361" s="50">
        <f t="shared" si="88"/>
        <v>0.80302715985187845</v>
      </c>
      <c r="AD361" s="51">
        <v>842</v>
      </c>
      <c r="AE361" s="38">
        <f t="shared" si="83"/>
        <v>76.545454545454547</v>
      </c>
      <c r="AF361" s="38">
        <f t="shared" si="84"/>
        <v>61.5</v>
      </c>
      <c r="AG361" s="38">
        <f t="shared" si="78"/>
        <v>-15.045454545454547</v>
      </c>
      <c r="AH361" s="38">
        <v>-6.6</v>
      </c>
      <c r="AI361" s="38">
        <f t="shared" si="85"/>
        <v>54.9</v>
      </c>
      <c r="AJ361" s="38"/>
      <c r="AK361" s="38">
        <f t="shared" si="86"/>
        <v>54.9</v>
      </c>
    </row>
    <row r="362" spans="1:37" s="2" customFormat="1" ht="16.95" customHeight="1">
      <c r="A362" s="53" t="s">
        <v>354</v>
      </c>
      <c r="B362" s="38">
        <v>0</v>
      </c>
      <c r="C362" s="38">
        <v>10</v>
      </c>
      <c r="D362" s="4">
        <f t="shared" si="79"/>
        <v>0</v>
      </c>
      <c r="E362" s="11">
        <v>0</v>
      </c>
      <c r="F362" s="5" t="s">
        <v>371</v>
      </c>
      <c r="G362" s="5" t="s">
        <v>371</v>
      </c>
      <c r="H362" s="5" t="s">
        <v>371</v>
      </c>
      <c r="I362" s="5" t="s">
        <v>371</v>
      </c>
      <c r="J362" s="5" t="s">
        <v>371</v>
      </c>
      <c r="K362" s="5" t="s">
        <v>371</v>
      </c>
      <c r="L362" s="5" t="s">
        <v>371</v>
      </c>
      <c r="M362" s="5" t="s">
        <v>371</v>
      </c>
      <c r="N362" s="38">
        <v>68.099999999999994</v>
      </c>
      <c r="O362" s="38">
        <v>38.4</v>
      </c>
      <c r="P362" s="4">
        <f t="shared" si="80"/>
        <v>0.56387665198237891</v>
      </c>
      <c r="Q362" s="11">
        <v>20</v>
      </c>
      <c r="R362" s="11">
        <v>1</v>
      </c>
      <c r="S362" s="11">
        <v>15</v>
      </c>
      <c r="T362" s="38">
        <v>16</v>
      </c>
      <c r="U362" s="38">
        <v>19.899999999999999</v>
      </c>
      <c r="V362" s="4">
        <f t="shared" si="81"/>
        <v>1.2437499999999999</v>
      </c>
      <c r="W362" s="11">
        <v>10</v>
      </c>
      <c r="X362" s="38">
        <v>2</v>
      </c>
      <c r="Y362" s="38">
        <v>2.9</v>
      </c>
      <c r="Z362" s="4">
        <f t="shared" si="82"/>
        <v>1.45</v>
      </c>
      <c r="AA362" s="11">
        <v>40</v>
      </c>
      <c r="AB362" s="50">
        <f t="shared" si="87"/>
        <v>1.137823918113501</v>
      </c>
      <c r="AC362" s="50">
        <f t="shared" si="88"/>
        <v>1.137823918113501</v>
      </c>
      <c r="AD362" s="51">
        <v>1238</v>
      </c>
      <c r="AE362" s="38">
        <f t="shared" si="83"/>
        <v>112.54545454545455</v>
      </c>
      <c r="AF362" s="38">
        <f t="shared" si="84"/>
        <v>128.1</v>
      </c>
      <c r="AG362" s="38">
        <f t="shared" si="78"/>
        <v>15.554545454545448</v>
      </c>
      <c r="AH362" s="38">
        <v>-0.8</v>
      </c>
      <c r="AI362" s="38">
        <f t="shared" si="85"/>
        <v>127.3</v>
      </c>
      <c r="AJ362" s="38"/>
      <c r="AK362" s="38">
        <f t="shared" si="86"/>
        <v>127.3</v>
      </c>
    </row>
    <row r="363" spans="1:37" s="2" customFormat="1" ht="16.95" customHeight="1">
      <c r="A363" s="53" t="s">
        <v>355</v>
      </c>
      <c r="B363" s="38">
        <v>7701</v>
      </c>
      <c r="C363" s="38">
        <v>5060</v>
      </c>
      <c r="D363" s="4">
        <f t="shared" si="79"/>
        <v>0.65705752499675363</v>
      </c>
      <c r="E363" s="11">
        <v>10</v>
      </c>
      <c r="F363" s="5" t="s">
        <v>371</v>
      </c>
      <c r="G363" s="5" t="s">
        <v>371</v>
      </c>
      <c r="H363" s="5" t="s">
        <v>371</v>
      </c>
      <c r="I363" s="5" t="s">
        <v>371</v>
      </c>
      <c r="J363" s="5" t="s">
        <v>371</v>
      </c>
      <c r="K363" s="5" t="s">
        <v>371</v>
      </c>
      <c r="L363" s="5" t="s">
        <v>371</v>
      </c>
      <c r="M363" s="5" t="s">
        <v>371</v>
      </c>
      <c r="N363" s="38">
        <v>709.9</v>
      </c>
      <c r="O363" s="38">
        <v>986.2</v>
      </c>
      <c r="P363" s="4">
        <f t="shared" si="80"/>
        <v>1.3892097478518102</v>
      </c>
      <c r="Q363" s="11">
        <v>20</v>
      </c>
      <c r="R363" s="11">
        <v>1</v>
      </c>
      <c r="S363" s="11">
        <v>15</v>
      </c>
      <c r="T363" s="38">
        <v>4</v>
      </c>
      <c r="U363" s="38">
        <v>5</v>
      </c>
      <c r="V363" s="4">
        <f t="shared" si="81"/>
        <v>1.25</v>
      </c>
      <c r="W363" s="11">
        <v>25</v>
      </c>
      <c r="X363" s="38">
        <v>0.5</v>
      </c>
      <c r="Y363" s="38">
        <v>0.8</v>
      </c>
      <c r="Z363" s="4">
        <f t="shared" si="82"/>
        <v>1.6</v>
      </c>
      <c r="AA363" s="11">
        <v>25</v>
      </c>
      <c r="AB363" s="50">
        <f t="shared" si="87"/>
        <v>1.2695238969158289</v>
      </c>
      <c r="AC363" s="50">
        <f t="shared" si="88"/>
        <v>1.2069523896915828</v>
      </c>
      <c r="AD363" s="51">
        <v>3486</v>
      </c>
      <c r="AE363" s="38">
        <f t="shared" si="83"/>
        <v>316.90909090909093</v>
      </c>
      <c r="AF363" s="38">
        <f t="shared" si="84"/>
        <v>382.5</v>
      </c>
      <c r="AG363" s="38">
        <f t="shared" si="78"/>
        <v>65.590909090909065</v>
      </c>
      <c r="AH363" s="38">
        <v>19.899999999999999</v>
      </c>
      <c r="AI363" s="38">
        <f t="shared" si="85"/>
        <v>402.4</v>
      </c>
      <c r="AJ363" s="38"/>
      <c r="AK363" s="38">
        <f t="shared" si="86"/>
        <v>402.4</v>
      </c>
    </row>
    <row r="364" spans="1:37" s="2" customFormat="1" ht="16.95" customHeight="1">
      <c r="A364" s="19" t="s">
        <v>356</v>
      </c>
      <c r="B364" s="72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</row>
    <row r="365" spans="1:37" s="2" customFormat="1" ht="16.95" customHeight="1">
      <c r="A365" s="14" t="s">
        <v>357</v>
      </c>
      <c r="B365" s="38">
        <v>1200</v>
      </c>
      <c r="C365" s="38">
        <v>1068</v>
      </c>
      <c r="D365" s="4">
        <f t="shared" si="79"/>
        <v>0.89</v>
      </c>
      <c r="E365" s="11">
        <v>10</v>
      </c>
      <c r="F365" s="5" t="s">
        <v>371</v>
      </c>
      <c r="G365" s="5" t="s">
        <v>371</v>
      </c>
      <c r="H365" s="5" t="s">
        <v>371</v>
      </c>
      <c r="I365" s="5" t="s">
        <v>371</v>
      </c>
      <c r="J365" s="5" t="s">
        <v>371</v>
      </c>
      <c r="K365" s="5" t="s">
        <v>371</v>
      </c>
      <c r="L365" s="5" t="s">
        <v>371</v>
      </c>
      <c r="M365" s="5" t="s">
        <v>371</v>
      </c>
      <c r="N365" s="38">
        <v>155.5</v>
      </c>
      <c r="O365" s="38">
        <v>95</v>
      </c>
      <c r="P365" s="4">
        <f t="shared" si="80"/>
        <v>0.61093247588424437</v>
      </c>
      <c r="Q365" s="11">
        <v>20</v>
      </c>
      <c r="R365" s="11">
        <v>1</v>
      </c>
      <c r="S365" s="11">
        <v>15</v>
      </c>
      <c r="T365" s="38">
        <v>0</v>
      </c>
      <c r="U365" s="38">
        <v>0</v>
      </c>
      <c r="V365" s="4">
        <f t="shared" si="81"/>
        <v>1</v>
      </c>
      <c r="W365" s="11">
        <v>15</v>
      </c>
      <c r="X365" s="38">
        <v>0</v>
      </c>
      <c r="Y365" s="38">
        <v>0</v>
      </c>
      <c r="Z365" s="4">
        <f t="shared" si="82"/>
        <v>1</v>
      </c>
      <c r="AA365" s="11">
        <v>35</v>
      </c>
      <c r="AB365" s="50">
        <f t="shared" si="87"/>
        <v>0.90651210018615669</v>
      </c>
      <c r="AC365" s="50">
        <f t="shared" si="88"/>
        <v>0.90651210018615669</v>
      </c>
      <c r="AD365" s="51">
        <v>1349</v>
      </c>
      <c r="AE365" s="38">
        <f t="shared" si="83"/>
        <v>122.63636363636364</v>
      </c>
      <c r="AF365" s="38">
        <f t="shared" si="84"/>
        <v>111.2</v>
      </c>
      <c r="AG365" s="38">
        <f t="shared" si="78"/>
        <v>-11.436363636363637</v>
      </c>
      <c r="AH365" s="38">
        <v>0</v>
      </c>
      <c r="AI365" s="38">
        <f t="shared" si="85"/>
        <v>111.2</v>
      </c>
      <c r="AJ365" s="38"/>
      <c r="AK365" s="38">
        <f t="shared" si="86"/>
        <v>111.2</v>
      </c>
    </row>
    <row r="366" spans="1:37" s="2" customFormat="1" ht="16.95" customHeight="1">
      <c r="A366" s="14" t="s">
        <v>358</v>
      </c>
      <c r="B366" s="38">
        <v>0</v>
      </c>
      <c r="C366" s="38">
        <v>20</v>
      </c>
      <c r="D366" s="4">
        <f t="shared" si="79"/>
        <v>0</v>
      </c>
      <c r="E366" s="11">
        <v>0</v>
      </c>
      <c r="F366" s="5" t="s">
        <v>371</v>
      </c>
      <c r="G366" s="5" t="s">
        <v>371</v>
      </c>
      <c r="H366" s="5" t="s">
        <v>371</v>
      </c>
      <c r="I366" s="5" t="s">
        <v>371</v>
      </c>
      <c r="J366" s="5" t="s">
        <v>371</v>
      </c>
      <c r="K366" s="5" t="s">
        <v>371</v>
      </c>
      <c r="L366" s="5" t="s">
        <v>371</v>
      </c>
      <c r="M366" s="5" t="s">
        <v>371</v>
      </c>
      <c r="N366" s="38">
        <v>100.3</v>
      </c>
      <c r="O366" s="38">
        <v>92</v>
      </c>
      <c r="P366" s="4">
        <f t="shared" si="80"/>
        <v>0.91724825523429709</v>
      </c>
      <c r="Q366" s="11">
        <v>20</v>
      </c>
      <c r="R366" s="11">
        <v>1</v>
      </c>
      <c r="S366" s="11">
        <v>15</v>
      </c>
      <c r="T366" s="38">
        <v>4</v>
      </c>
      <c r="U366" s="38">
        <v>4.4000000000000004</v>
      </c>
      <c r="V366" s="4">
        <f t="shared" si="81"/>
        <v>1.1000000000000001</v>
      </c>
      <c r="W366" s="11">
        <v>25</v>
      </c>
      <c r="X366" s="38">
        <v>0</v>
      </c>
      <c r="Y366" s="38">
        <v>0</v>
      </c>
      <c r="Z366" s="4">
        <f t="shared" si="82"/>
        <v>1</v>
      </c>
      <c r="AA366" s="11">
        <v>25</v>
      </c>
      <c r="AB366" s="50">
        <f t="shared" si="87"/>
        <v>1.0099407659374817</v>
      </c>
      <c r="AC366" s="50">
        <f t="shared" si="88"/>
        <v>1.0099407659374817</v>
      </c>
      <c r="AD366" s="51">
        <v>1709</v>
      </c>
      <c r="AE366" s="38">
        <f t="shared" si="83"/>
        <v>155.36363636363637</v>
      </c>
      <c r="AF366" s="38">
        <f t="shared" si="84"/>
        <v>156.9</v>
      </c>
      <c r="AG366" s="38">
        <f t="shared" ref="AG366:AG376" si="89">AF366-AE366</f>
        <v>1.5363636363636317</v>
      </c>
      <c r="AH366" s="38">
        <v>-0.5</v>
      </c>
      <c r="AI366" s="38">
        <f t="shared" si="85"/>
        <v>156.4</v>
      </c>
      <c r="AJ366" s="38"/>
      <c r="AK366" s="38">
        <f t="shared" si="86"/>
        <v>156.4</v>
      </c>
    </row>
    <row r="367" spans="1:37" s="2" customFormat="1" ht="16.95" customHeight="1">
      <c r="A367" s="53" t="s">
        <v>359</v>
      </c>
      <c r="B367" s="38">
        <v>1360</v>
      </c>
      <c r="C367" s="38">
        <v>1330.5</v>
      </c>
      <c r="D367" s="4">
        <f t="shared" ref="D367:D375" si="90">IF(E367=0,0,IF(B367=0,1,IF(C367&lt;0,0,C367/B367)))</f>
        <v>0.97830882352941173</v>
      </c>
      <c r="E367" s="11">
        <v>10</v>
      </c>
      <c r="F367" s="5" t="s">
        <v>371</v>
      </c>
      <c r="G367" s="5" t="s">
        <v>371</v>
      </c>
      <c r="H367" s="5" t="s">
        <v>371</v>
      </c>
      <c r="I367" s="5" t="s">
        <v>371</v>
      </c>
      <c r="J367" s="5" t="s">
        <v>371</v>
      </c>
      <c r="K367" s="5" t="s">
        <v>371</v>
      </c>
      <c r="L367" s="5" t="s">
        <v>371</v>
      </c>
      <c r="M367" s="5" t="s">
        <v>371</v>
      </c>
      <c r="N367" s="38">
        <v>585.1</v>
      </c>
      <c r="O367" s="38">
        <v>303.60000000000002</v>
      </c>
      <c r="P367" s="4">
        <f t="shared" ref="P367:P376" si="91">IF(Q367=0,0,IF(N367=0,1,IF(O367&lt;0,0,O367/N367)))</f>
        <v>0.51888566057084262</v>
      </c>
      <c r="Q367" s="11">
        <v>20</v>
      </c>
      <c r="R367" s="11">
        <v>1</v>
      </c>
      <c r="S367" s="11">
        <v>15</v>
      </c>
      <c r="T367" s="38">
        <v>0</v>
      </c>
      <c r="U367" s="38">
        <v>0</v>
      </c>
      <c r="V367" s="4">
        <f t="shared" ref="V367:V376" si="92">IF(W367=0,0,IF(T367=0,1,IF(U367&lt;0,0,U367/T367)))</f>
        <v>1</v>
      </c>
      <c r="W367" s="11">
        <v>15</v>
      </c>
      <c r="X367" s="38">
        <v>0</v>
      </c>
      <c r="Y367" s="38">
        <v>0</v>
      </c>
      <c r="Z367" s="4">
        <f t="shared" ref="Z367:Z376" si="93">IF(AA367=0,0,IF(X367=0,1,IF(Y367&lt;0,0,Y367/X367)))</f>
        <v>1</v>
      </c>
      <c r="AA367" s="11">
        <v>35</v>
      </c>
      <c r="AB367" s="50">
        <f t="shared" si="87"/>
        <v>0.89642948891274699</v>
      </c>
      <c r="AC367" s="50">
        <f t="shared" si="88"/>
        <v>0.89642948891274699</v>
      </c>
      <c r="AD367" s="51">
        <v>22</v>
      </c>
      <c r="AE367" s="38">
        <f t="shared" ref="AE367:AE376" si="94">AD367/11</f>
        <v>2</v>
      </c>
      <c r="AF367" s="38">
        <f t="shared" ref="AF367:AF376" si="95">ROUND(AC367*AE367,1)</f>
        <v>1.8</v>
      </c>
      <c r="AG367" s="38">
        <f t="shared" si="89"/>
        <v>-0.19999999999999996</v>
      </c>
      <c r="AH367" s="38">
        <v>0.1</v>
      </c>
      <c r="AI367" s="38">
        <f t="shared" ref="AI367:AI376" si="96">AF367+AH367</f>
        <v>1.9000000000000001</v>
      </c>
      <c r="AJ367" s="38">
        <f>MIN($AI367,428.9)</f>
        <v>1.9000000000000001</v>
      </c>
      <c r="AK367" s="38">
        <f t="shared" ref="AK367:AK376" si="97">IF((AI367-AJ367)&gt;0,ROUND(AI367-AJ367,1),0)</f>
        <v>0</v>
      </c>
    </row>
    <row r="368" spans="1:37" s="2" customFormat="1" ht="16.95" customHeight="1">
      <c r="A368" s="14" t="s">
        <v>360</v>
      </c>
      <c r="B368" s="38">
        <v>0</v>
      </c>
      <c r="C368" s="38">
        <v>0</v>
      </c>
      <c r="D368" s="4">
        <f t="shared" si="90"/>
        <v>0</v>
      </c>
      <c r="E368" s="11">
        <v>0</v>
      </c>
      <c r="F368" s="5" t="s">
        <v>371</v>
      </c>
      <c r="G368" s="5" t="s">
        <v>371</v>
      </c>
      <c r="H368" s="5" t="s">
        <v>371</v>
      </c>
      <c r="I368" s="5" t="s">
        <v>371</v>
      </c>
      <c r="J368" s="5" t="s">
        <v>371</v>
      </c>
      <c r="K368" s="5" t="s">
        <v>371</v>
      </c>
      <c r="L368" s="5" t="s">
        <v>371</v>
      </c>
      <c r="M368" s="5" t="s">
        <v>371</v>
      </c>
      <c r="N368" s="38">
        <v>60.7</v>
      </c>
      <c r="O368" s="38">
        <v>34.5</v>
      </c>
      <c r="P368" s="4">
        <f t="shared" si="91"/>
        <v>0.56836902800658973</v>
      </c>
      <c r="Q368" s="11">
        <v>20</v>
      </c>
      <c r="R368" s="11">
        <v>1</v>
      </c>
      <c r="S368" s="11">
        <v>15</v>
      </c>
      <c r="T368" s="38">
        <v>0</v>
      </c>
      <c r="U368" s="38">
        <v>0</v>
      </c>
      <c r="V368" s="4">
        <f t="shared" si="92"/>
        <v>1</v>
      </c>
      <c r="W368" s="11">
        <v>20</v>
      </c>
      <c r="X368" s="38">
        <v>0</v>
      </c>
      <c r="Y368" s="38">
        <v>0.5</v>
      </c>
      <c r="Z368" s="4">
        <f t="shared" si="93"/>
        <v>1</v>
      </c>
      <c r="AA368" s="11">
        <v>30</v>
      </c>
      <c r="AB368" s="50">
        <f t="shared" ref="AB368:AB376" si="98">(D368*E368+P368*Q368+R368*S368+V368*W368+Z368*AA368)/(E368+Q368+S368+W368+AA368)</f>
        <v>0.8984397712956681</v>
      </c>
      <c r="AC368" s="50">
        <f t="shared" ref="AC368:AC376" si="99">IF(AB368&gt;1.2,IF((AB368-1.2)*0.1+1.2&gt;1.3,1.3,(AB368-1.2)*0.1+1.2),AB368)</f>
        <v>0.8984397712956681</v>
      </c>
      <c r="AD368" s="51">
        <v>1797</v>
      </c>
      <c r="AE368" s="38">
        <f t="shared" si="94"/>
        <v>163.36363636363637</v>
      </c>
      <c r="AF368" s="38">
        <f t="shared" si="95"/>
        <v>146.80000000000001</v>
      </c>
      <c r="AG368" s="38">
        <f t="shared" si="89"/>
        <v>-16.563636363636363</v>
      </c>
      <c r="AH368" s="38">
        <v>-1.1000000000000001</v>
      </c>
      <c r="AI368" s="38">
        <f t="shared" si="96"/>
        <v>145.70000000000002</v>
      </c>
      <c r="AJ368" s="38"/>
      <c r="AK368" s="38">
        <f t="shared" si="97"/>
        <v>145.69999999999999</v>
      </c>
    </row>
    <row r="369" spans="1:37" s="2" customFormat="1" ht="16.95" customHeight="1">
      <c r="A369" s="14" t="s">
        <v>361</v>
      </c>
      <c r="B369" s="38">
        <v>200</v>
      </c>
      <c r="C369" s="38">
        <v>400.6</v>
      </c>
      <c r="D369" s="4">
        <f t="shared" si="90"/>
        <v>2.0030000000000001</v>
      </c>
      <c r="E369" s="11">
        <v>10</v>
      </c>
      <c r="F369" s="5" t="s">
        <v>371</v>
      </c>
      <c r="G369" s="5" t="s">
        <v>371</v>
      </c>
      <c r="H369" s="5" t="s">
        <v>371</v>
      </c>
      <c r="I369" s="5" t="s">
        <v>371</v>
      </c>
      <c r="J369" s="5" t="s">
        <v>371</v>
      </c>
      <c r="K369" s="5" t="s">
        <v>371</v>
      </c>
      <c r="L369" s="5" t="s">
        <v>371</v>
      </c>
      <c r="M369" s="5" t="s">
        <v>371</v>
      </c>
      <c r="N369" s="38">
        <v>641.20000000000005</v>
      </c>
      <c r="O369" s="38">
        <v>555.79999999999995</v>
      </c>
      <c r="P369" s="4">
        <f t="shared" si="91"/>
        <v>0.86681222707423566</v>
      </c>
      <c r="Q369" s="11">
        <v>20</v>
      </c>
      <c r="R369" s="11">
        <v>1</v>
      </c>
      <c r="S369" s="11">
        <v>15</v>
      </c>
      <c r="T369" s="38">
        <v>2</v>
      </c>
      <c r="U369" s="38">
        <v>11</v>
      </c>
      <c r="V369" s="4">
        <f t="shared" si="92"/>
        <v>5.5</v>
      </c>
      <c r="W369" s="11">
        <v>20</v>
      </c>
      <c r="X369" s="38">
        <v>3</v>
      </c>
      <c r="Y369" s="38">
        <v>2.6</v>
      </c>
      <c r="Z369" s="4">
        <f t="shared" si="93"/>
        <v>0.8666666666666667</v>
      </c>
      <c r="AA369" s="11">
        <v>30</v>
      </c>
      <c r="AB369" s="50">
        <f t="shared" si="98"/>
        <v>1.9828025741208917</v>
      </c>
      <c r="AC369" s="50">
        <f t="shared" si="99"/>
        <v>1.2782802574120891</v>
      </c>
      <c r="AD369" s="51">
        <v>1390</v>
      </c>
      <c r="AE369" s="38">
        <f t="shared" si="94"/>
        <v>126.36363636363636</v>
      </c>
      <c r="AF369" s="38">
        <f t="shared" si="95"/>
        <v>161.5</v>
      </c>
      <c r="AG369" s="38">
        <f t="shared" si="89"/>
        <v>35.13636363636364</v>
      </c>
      <c r="AH369" s="38">
        <v>-5.3</v>
      </c>
      <c r="AI369" s="38">
        <f t="shared" si="96"/>
        <v>156.19999999999999</v>
      </c>
      <c r="AJ369" s="38"/>
      <c r="AK369" s="38">
        <f t="shared" si="97"/>
        <v>156.19999999999999</v>
      </c>
    </row>
    <row r="370" spans="1:37" s="2" customFormat="1" ht="16.95" customHeight="1">
      <c r="A370" s="14" t="s">
        <v>362</v>
      </c>
      <c r="B370" s="38">
        <v>65</v>
      </c>
      <c r="C370" s="38">
        <v>36.9</v>
      </c>
      <c r="D370" s="4">
        <f t="shared" si="90"/>
        <v>0.56769230769230772</v>
      </c>
      <c r="E370" s="11">
        <v>10</v>
      </c>
      <c r="F370" s="5" t="s">
        <v>371</v>
      </c>
      <c r="G370" s="5" t="s">
        <v>371</v>
      </c>
      <c r="H370" s="5" t="s">
        <v>371</v>
      </c>
      <c r="I370" s="5" t="s">
        <v>371</v>
      </c>
      <c r="J370" s="5" t="s">
        <v>371</v>
      </c>
      <c r="K370" s="5" t="s">
        <v>371</v>
      </c>
      <c r="L370" s="5" t="s">
        <v>371</v>
      </c>
      <c r="M370" s="5" t="s">
        <v>371</v>
      </c>
      <c r="N370" s="38">
        <v>248</v>
      </c>
      <c r="O370" s="38">
        <v>75.2</v>
      </c>
      <c r="P370" s="4">
        <f t="shared" si="91"/>
        <v>0.3032258064516129</v>
      </c>
      <c r="Q370" s="11">
        <v>20</v>
      </c>
      <c r="R370" s="11">
        <v>1</v>
      </c>
      <c r="S370" s="11">
        <v>15</v>
      </c>
      <c r="T370" s="38">
        <v>7</v>
      </c>
      <c r="U370" s="38">
        <v>7.4</v>
      </c>
      <c r="V370" s="4">
        <f t="shared" si="92"/>
        <v>1.0571428571428572</v>
      </c>
      <c r="W370" s="11">
        <v>20</v>
      </c>
      <c r="X370" s="38">
        <v>0</v>
      </c>
      <c r="Y370" s="38">
        <v>0</v>
      </c>
      <c r="Z370" s="4">
        <f t="shared" si="93"/>
        <v>1</v>
      </c>
      <c r="AA370" s="11">
        <v>30</v>
      </c>
      <c r="AB370" s="50">
        <f t="shared" si="98"/>
        <v>0.8198346984085525</v>
      </c>
      <c r="AC370" s="50">
        <f t="shared" si="99"/>
        <v>0.8198346984085525</v>
      </c>
      <c r="AD370" s="51">
        <v>1897</v>
      </c>
      <c r="AE370" s="38">
        <f t="shared" si="94"/>
        <v>172.45454545454547</v>
      </c>
      <c r="AF370" s="38">
        <f t="shared" si="95"/>
        <v>141.4</v>
      </c>
      <c r="AG370" s="38">
        <f t="shared" si="89"/>
        <v>-31.054545454545462</v>
      </c>
      <c r="AH370" s="38">
        <v>4.5</v>
      </c>
      <c r="AI370" s="38">
        <f t="shared" si="96"/>
        <v>145.9</v>
      </c>
      <c r="AJ370" s="38"/>
      <c r="AK370" s="38">
        <f t="shared" si="97"/>
        <v>145.9</v>
      </c>
    </row>
    <row r="371" spans="1:37" s="2" customFormat="1" ht="16.95" customHeight="1">
      <c r="A371" s="14" t="s">
        <v>363</v>
      </c>
      <c r="B371" s="38">
        <v>0</v>
      </c>
      <c r="C371" s="38">
        <v>0</v>
      </c>
      <c r="D371" s="4">
        <f t="shared" si="90"/>
        <v>0</v>
      </c>
      <c r="E371" s="11">
        <v>0</v>
      </c>
      <c r="F371" s="5" t="s">
        <v>371</v>
      </c>
      <c r="G371" s="5" t="s">
        <v>371</v>
      </c>
      <c r="H371" s="5" t="s">
        <v>371</v>
      </c>
      <c r="I371" s="5" t="s">
        <v>371</v>
      </c>
      <c r="J371" s="5" t="s">
        <v>371</v>
      </c>
      <c r="K371" s="5" t="s">
        <v>371</v>
      </c>
      <c r="L371" s="5" t="s">
        <v>371</v>
      </c>
      <c r="M371" s="5" t="s">
        <v>371</v>
      </c>
      <c r="N371" s="38">
        <v>77.900000000000006</v>
      </c>
      <c r="O371" s="38">
        <v>58.6</v>
      </c>
      <c r="P371" s="4">
        <f t="shared" si="91"/>
        <v>0.75224646983311938</v>
      </c>
      <c r="Q371" s="11">
        <v>20</v>
      </c>
      <c r="R371" s="11">
        <v>1</v>
      </c>
      <c r="S371" s="11">
        <v>15</v>
      </c>
      <c r="T371" s="38">
        <v>0</v>
      </c>
      <c r="U371" s="38">
        <v>0.2</v>
      </c>
      <c r="V371" s="4">
        <f t="shared" si="92"/>
        <v>1</v>
      </c>
      <c r="W371" s="11">
        <v>30</v>
      </c>
      <c r="X371" s="38">
        <v>0</v>
      </c>
      <c r="Y371" s="38">
        <v>2</v>
      </c>
      <c r="Z371" s="4">
        <f t="shared" si="93"/>
        <v>1</v>
      </c>
      <c r="AA371" s="11">
        <v>20</v>
      </c>
      <c r="AB371" s="50">
        <f t="shared" si="98"/>
        <v>0.94170505172543983</v>
      </c>
      <c r="AC371" s="50">
        <f t="shared" si="99"/>
        <v>0.94170505172543983</v>
      </c>
      <c r="AD371" s="51">
        <v>1347</v>
      </c>
      <c r="AE371" s="38">
        <f t="shared" si="94"/>
        <v>122.45454545454545</v>
      </c>
      <c r="AF371" s="38">
        <f t="shared" si="95"/>
        <v>115.3</v>
      </c>
      <c r="AG371" s="38">
        <f t="shared" si="89"/>
        <v>-7.1545454545454561</v>
      </c>
      <c r="AH371" s="38">
        <v>0.1</v>
      </c>
      <c r="AI371" s="38">
        <f t="shared" si="96"/>
        <v>115.39999999999999</v>
      </c>
      <c r="AJ371" s="38"/>
      <c r="AK371" s="38">
        <f t="shared" si="97"/>
        <v>115.4</v>
      </c>
    </row>
    <row r="372" spans="1:37" s="2" customFormat="1" ht="16.95" customHeight="1">
      <c r="A372" s="14" t="s">
        <v>364</v>
      </c>
      <c r="B372" s="38">
        <v>0</v>
      </c>
      <c r="C372" s="38">
        <v>0</v>
      </c>
      <c r="D372" s="4">
        <f t="shared" si="90"/>
        <v>0</v>
      </c>
      <c r="E372" s="11">
        <v>0</v>
      </c>
      <c r="F372" s="5" t="s">
        <v>371</v>
      </c>
      <c r="G372" s="5" t="s">
        <v>371</v>
      </c>
      <c r="H372" s="5" t="s">
        <v>371</v>
      </c>
      <c r="I372" s="5" t="s">
        <v>371</v>
      </c>
      <c r="J372" s="5" t="s">
        <v>371</v>
      </c>
      <c r="K372" s="5" t="s">
        <v>371</v>
      </c>
      <c r="L372" s="5" t="s">
        <v>371</v>
      </c>
      <c r="M372" s="5" t="s">
        <v>371</v>
      </c>
      <c r="N372" s="38">
        <v>151.69999999999999</v>
      </c>
      <c r="O372" s="38">
        <v>44.4</v>
      </c>
      <c r="P372" s="4">
        <f t="shared" si="91"/>
        <v>0.29268292682926833</v>
      </c>
      <c r="Q372" s="11">
        <v>20</v>
      </c>
      <c r="R372" s="11">
        <v>1</v>
      </c>
      <c r="S372" s="11">
        <v>15</v>
      </c>
      <c r="T372" s="38">
        <v>5</v>
      </c>
      <c r="U372" s="38">
        <v>5.3</v>
      </c>
      <c r="V372" s="4">
        <f t="shared" si="92"/>
        <v>1.06</v>
      </c>
      <c r="W372" s="11">
        <v>25</v>
      </c>
      <c r="X372" s="38">
        <v>0</v>
      </c>
      <c r="Y372" s="38">
        <v>0</v>
      </c>
      <c r="Z372" s="4">
        <f t="shared" si="93"/>
        <v>1</v>
      </c>
      <c r="AA372" s="11">
        <v>25</v>
      </c>
      <c r="AB372" s="50">
        <f t="shared" si="98"/>
        <v>0.85121951219512204</v>
      </c>
      <c r="AC372" s="50">
        <f t="shared" si="99"/>
        <v>0.85121951219512204</v>
      </c>
      <c r="AD372" s="51">
        <v>1065</v>
      </c>
      <c r="AE372" s="38">
        <f t="shared" si="94"/>
        <v>96.818181818181813</v>
      </c>
      <c r="AF372" s="38">
        <f t="shared" si="95"/>
        <v>82.4</v>
      </c>
      <c r="AG372" s="38">
        <f t="shared" si="89"/>
        <v>-14.418181818181807</v>
      </c>
      <c r="AH372" s="38">
        <v>1.8</v>
      </c>
      <c r="AI372" s="38">
        <f t="shared" si="96"/>
        <v>84.2</v>
      </c>
      <c r="AJ372" s="38"/>
      <c r="AK372" s="38">
        <f t="shared" si="97"/>
        <v>84.2</v>
      </c>
    </row>
    <row r="373" spans="1:37" s="2" customFormat="1" ht="16.95" customHeight="1">
      <c r="A373" s="14" t="s">
        <v>365</v>
      </c>
      <c r="B373" s="38">
        <v>0</v>
      </c>
      <c r="C373" s="38">
        <v>0</v>
      </c>
      <c r="D373" s="4">
        <f t="shared" si="90"/>
        <v>0</v>
      </c>
      <c r="E373" s="11">
        <v>0</v>
      </c>
      <c r="F373" s="5" t="s">
        <v>371</v>
      </c>
      <c r="G373" s="5" t="s">
        <v>371</v>
      </c>
      <c r="H373" s="5" t="s">
        <v>371</v>
      </c>
      <c r="I373" s="5" t="s">
        <v>371</v>
      </c>
      <c r="J373" s="5" t="s">
        <v>371</v>
      </c>
      <c r="K373" s="5" t="s">
        <v>371</v>
      </c>
      <c r="L373" s="5" t="s">
        <v>371</v>
      </c>
      <c r="M373" s="5" t="s">
        <v>371</v>
      </c>
      <c r="N373" s="38">
        <v>83.1</v>
      </c>
      <c r="O373" s="38">
        <v>65</v>
      </c>
      <c r="P373" s="4">
        <f t="shared" si="91"/>
        <v>0.78219013237063784</v>
      </c>
      <c r="Q373" s="11">
        <v>20</v>
      </c>
      <c r="R373" s="11">
        <v>1</v>
      </c>
      <c r="S373" s="11">
        <v>15</v>
      </c>
      <c r="T373" s="38">
        <v>0</v>
      </c>
      <c r="U373" s="38">
        <v>0</v>
      </c>
      <c r="V373" s="4">
        <f t="shared" si="92"/>
        <v>1</v>
      </c>
      <c r="W373" s="11">
        <v>20</v>
      </c>
      <c r="X373" s="38">
        <v>0</v>
      </c>
      <c r="Y373" s="38">
        <v>0.4</v>
      </c>
      <c r="Z373" s="4">
        <f t="shared" si="93"/>
        <v>1</v>
      </c>
      <c r="AA373" s="11">
        <v>30</v>
      </c>
      <c r="AB373" s="50">
        <f t="shared" si="98"/>
        <v>0.94875061938132654</v>
      </c>
      <c r="AC373" s="50">
        <f t="shared" si="99"/>
        <v>0.94875061938132654</v>
      </c>
      <c r="AD373" s="51">
        <v>2172</v>
      </c>
      <c r="AE373" s="38">
        <f t="shared" si="94"/>
        <v>197.45454545454547</v>
      </c>
      <c r="AF373" s="38">
        <f t="shared" si="95"/>
        <v>187.3</v>
      </c>
      <c r="AG373" s="38">
        <f t="shared" si="89"/>
        <v>-10.154545454545456</v>
      </c>
      <c r="AH373" s="38">
        <v>-2.8</v>
      </c>
      <c r="AI373" s="38">
        <f t="shared" si="96"/>
        <v>184.5</v>
      </c>
      <c r="AJ373" s="38"/>
      <c r="AK373" s="38">
        <f t="shared" si="97"/>
        <v>184.5</v>
      </c>
    </row>
    <row r="374" spans="1:37" s="2" customFormat="1" ht="16.95" customHeight="1">
      <c r="A374" s="14" t="s">
        <v>366</v>
      </c>
      <c r="B374" s="38">
        <v>0</v>
      </c>
      <c r="C374" s="38">
        <v>0</v>
      </c>
      <c r="D374" s="4">
        <f t="shared" si="90"/>
        <v>0</v>
      </c>
      <c r="E374" s="11">
        <v>0</v>
      </c>
      <c r="F374" s="5" t="s">
        <v>371</v>
      </c>
      <c r="G374" s="5" t="s">
        <v>371</v>
      </c>
      <c r="H374" s="5" t="s">
        <v>371</v>
      </c>
      <c r="I374" s="5" t="s">
        <v>371</v>
      </c>
      <c r="J374" s="5" t="s">
        <v>371</v>
      </c>
      <c r="K374" s="5" t="s">
        <v>371</v>
      </c>
      <c r="L374" s="5" t="s">
        <v>371</v>
      </c>
      <c r="M374" s="5" t="s">
        <v>371</v>
      </c>
      <c r="N374" s="38">
        <v>130.5</v>
      </c>
      <c r="O374" s="38">
        <v>53.9</v>
      </c>
      <c r="P374" s="4">
        <f t="shared" si="91"/>
        <v>0.41302681992337165</v>
      </c>
      <c r="Q374" s="11">
        <v>20</v>
      </c>
      <c r="R374" s="11">
        <v>1</v>
      </c>
      <c r="S374" s="11">
        <v>15</v>
      </c>
      <c r="T374" s="38">
        <v>5</v>
      </c>
      <c r="U374" s="38">
        <v>5.2</v>
      </c>
      <c r="V374" s="4">
        <f t="shared" si="92"/>
        <v>1.04</v>
      </c>
      <c r="W374" s="11">
        <v>20</v>
      </c>
      <c r="X374" s="38">
        <v>0</v>
      </c>
      <c r="Y374" s="38">
        <v>0</v>
      </c>
      <c r="Z374" s="4">
        <f t="shared" si="93"/>
        <v>1</v>
      </c>
      <c r="AA374" s="11">
        <v>30</v>
      </c>
      <c r="AB374" s="50">
        <f t="shared" si="98"/>
        <v>0.87130042821726394</v>
      </c>
      <c r="AC374" s="50">
        <f t="shared" si="99"/>
        <v>0.87130042821726394</v>
      </c>
      <c r="AD374" s="51">
        <v>965</v>
      </c>
      <c r="AE374" s="38">
        <f t="shared" si="94"/>
        <v>87.727272727272734</v>
      </c>
      <c r="AF374" s="38">
        <f t="shared" si="95"/>
        <v>76.400000000000006</v>
      </c>
      <c r="AG374" s="38">
        <f t="shared" si="89"/>
        <v>-11.327272727272728</v>
      </c>
      <c r="AH374" s="38">
        <v>3.5</v>
      </c>
      <c r="AI374" s="38">
        <f t="shared" si="96"/>
        <v>79.900000000000006</v>
      </c>
      <c r="AJ374" s="38"/>
      <c r="AK374" s="38">
        <f t="shared" si="97"/>
        <v>79.900000000000006</v>
      </c>
    </row>
    <row r="375" spans="1:37" s="2" customFormat="1" ht="16.95" customHeight="1">
      <c r="A375" s="14" t="s">
        <v>367</v>
      </c>
      <c r="B375" s="38">
        <v>582</v>
      </c>
      <c r="C375" s="38">
        <v>531</v>
      </c>
      <c r="D375" s="4">
        <f t="shared" si="90"/>
        <v>0.91237113402061853</v>
      </c>
      <c r="E375" s="11">
        <v>10</v>
      </c>
      <c r="F375" s="5" t="s">
        <v>371</v>
      </c>
      <c r="G375" s="5" t="s">
        <v>371</v>
      </c>
      <c r="H375" s="5" t="s">
        <v>371</v>
      </c>
      <c r="I375" s="5" t="s">
        <v>371</v>
      </c>
      <c r="J375" s="5" t="s">
        <v>371</v>
      </c>
      <c r="K375" s="5" t="s">
        <v>371</v>
      </c>
      <c r="L375" s="5" t="s">
        <v>371</v>
      </c>
      <c r="M375" s="5" t="s">
        <v>371</v>
      </c>
      <c r="N375" s="38">
        <v>322.3</v>
      </c>
      <c r="O375" s="38">
        <v>191.8</v>
      </c>
      <c r="P375" s="4">
        <f t="shared" si="91"/>
        <v>0.59509773502947561</v>
      </c>
      <c r="Q375" s="11">
        <v>20</v>
      </c>
      <c r="R375" s="11">
        <v>1</v>
      </c>
      <c r="S375" s="11">
        <v>15</v>
      </c>
      <c r="T375" s="38">
        <v>0</v>
      </c>
      <c r="U375" s="38">
        <v>0.4</v>
      </c>
      <c r="V375" s="4">
        <f t="shared" si="92"/>
        <v>1</v>
      </c>
      <c r="W375" s="11">
        <v>20</v>
      </c>
      <c r="X375" s="38">
        <v>0</v>
      </c>
      <c r="Y375" s="38">
        <v>0</v>
      </c>
      <c r="Z375" s="4">
        <f t="shared" si="93"/>
        <v>1</v>
      </c>
      <c r="AA375" s="11">
        <v>30</v>
      </c>
      <c r="AB375" s="50">
        <f t="shared" si="98"/>
        <v>0.90553332674521791</v>
      </c>
      <c r="AC375" s="50">
        <f t="shared" si="99"/>
        <v>0.90553332674521791</v>
      </c>
      <c r="AD375" s="51">
        <v>1800</v>
      </c>
      <c r="AE375" s="38">
        <f t="shared" si="94"/>
        <v>163.63636363636363</v>
      </c>
      <c r="AF375" s="38">
        <f t="shared" si="95"/>
        <v>148.19999999999999</v>
      </c>
      <c r="AG375" s="38">
        <f t="shared" si="89"/>
        <v>-15.436363636363637</v>
      </c>
      <c r="AH375" s="38">
        <v>4.8</v>
      </c>
      <c r="AI375" s="38">
        <f t="shared" si="96"/>
        <v>153</v>
      </c>
      <c r="AJ375" s="38"/>
      <c r="AK375" s="38">
        <f t="shared" si="97"/>
        <v>153</v>
      </c>
    </row>
    <row r="376" spans="1:37" s="2" customFormat="1" ht="16.95" customHeight="1">
      <c r="A376" s="14" t="s">
        <v>368</v>
      </c>
      <c r="B376" s="38">
        <v>5400</v>
      </c>
      <c r="C376" s="38">
        <v>5367.9</v>
      </c>
      <c r="D376" s="4">
        <f>IF(E376=0,0,IF(B376=0,1,IF(C376&lt;0,0,C376/B376)))</f>
        <v>0.99405555555555547</v>
      </c>
      <c r="E376" s="11">
        <v>10</v>
      </c>
      <c r="F376" s="5" t="s">
        <v>371</v>
      </c>
      <c r="G376" s="5" t="s">
        <v>371</v>
      </c>
      <c r="H376" s="5" t="s">
        <v>371</v>
      </c>
      <c r="I376" s="5" t="s">
        <v>371</v>
      </c>
      <c r="J376" s="5" t="s">
        <v>371</v>
      </c>
      <c r="K376" s="5" t="s">
        <v>371</v>
      </c>
      <c r="L376" s="5" t="s">
        <v>371</v>
      </c>
      <c r="M376" s="5" t="s">
        <v>371</v>
      </c>
      <c r="N376" s="38">
        <v>1257.8</v>
      </c>
      <c r="O376" s="38">
        <v>1004.5</v>
      </c>
      <c r="P376" s="4">
        <f t="shared" si="91"/>
        <v>0.79861663221497858</v>
      </c>
      <c r="Q376" s="11">
        <v>20</v>
      </c>
      <c r="R376" s="11">
        <v>1</v>
      </c>
      <c r="S376" s="11">
        <v>15</v>
      </c>
      <c r="T376" s="38">
        <v>8</v>
      </c>
      <c r="U376" s="38">
        <v>0.7</v>
      </c>
      <c r="V376" s="4">
        <f t="shared" si="92"/>
        <v>8.7499999999999994E-2</v>
      </c>
      <c r="W376" s="11">
        <v>20</v>
      </c>
      <c r="X376" s="38">
        <v>0</v>
      </c>
      <c r="Y376" s="38">
        <v>0.4</v>
      </c>
      <c r="Z376" s="4">
        <f t="shared" si="93"/>
        <v>1</v>
      </c>
      <c r="AA376" s="11">
        <v>30</v>
      </c>
      <c r="AB376" s="50">
        <f t="shared" si="98"/>
        <v>0.76487250736689616</v>
      </c>
      <c r="AC376" s="50">
        <f t="shared" si="99"/>
        <v>0.76487250736689616</v>
      </c>
      <c r="AD376" s="51">
        <v>1971</v>
      </c>
      <c r="AE376" s="38">
        <f t="shared" si="94"/>
        <v>179.18181818181819</v>
      </c>
      <c r="AF376" s="38">
        <f t="shared" si="95"/>
        <v>137.1</v>
      </c>
      <c r="AG376" s="38">
        <f t="shared" si="89"/>
        <v>-42.081818181818193</v>
      </c>
      <c r="AH376" s="38">
        <v>-1.3</v>
      </c>
      <c r="AI376" s="38">
        <f t="shared" si="96"/>
        <v>135.79999999999998</v>
      </c>
      <c r="AJ376" s="38"/>
      <c r="AK376" s="38">
        <f t="shared" si="97"/>
        <v>135.80000000000001</v>
      </c>
    </row>
    <row r="377" spans="1:37" s="46" customFormat="1" ht="16.95" customHeight="1">
      <c r="A377" s="45" t="s">
        <v>380</v>
      </c>
      <c r="B377" s="47">
        <f>B6+B17</f>
        <v>74948661</v>
      </c>
      <c r="C377" s="47">
        <f>C6+C17</f>
        <v>71432570.100000009</v>
      </c>
      <c r="D377" s="48">
        <f>C377/B377</f>
        <v>0.95308667489069632</v>
      </c>
      <c r="E377" s="45"/>
      <c r="F377" s="45"/>
      <c r="G377" s="45"/>
      <c r="H377" s="45"/>
      <c r="I377" s="45"/>
      <c r="J377" s="45"/>
      <c r="K377" s="45"/>
      <c r="L377" s="45"/>
      <c r="M377" s="45"/>
      <c r="N377" s="47">
        <f>N6+N17</f>
        <v>3230921.9</v>
      </c>
      <c r="O377" s="47">
        <f>O6+O17</f>
        <v>3891676.4000000004</v>
      </c>
      <c r="P377" s="48">
        <f>O377/N377</f>
        <v>1.2045095859482089</v>
      </c>
      <c r="Q377" s="45"/>
      <c r="R377" s="45"/>
      <c r="S377" s="45"/>
      <c r="T377" s="47">
        <f>T17</f>
        <v>14439.7</v>
      </c>
      <c r="U377" s="47">
        <f>U17</f>
        <v>15920.900000000003</v>
      </c>
      <c r="V377" s="48">
        <f>U377/T377</f>
        <v>1.1025783084136098</v>
      </c>
      <c r="W377" s="45"/>
      <c r="X377" s="47">
        <f t="shared" ref="X377:Y377" si="100">X17</f>
        <v>5063.9000000000005</v>
      </c>
      <c r="Y377" s="47">
        <f t="shared" si="100"/>
        <v>5011.1000000000004</v>
      </c>
      <c r="Z377" s="48">
        <f>Y377/X377</f>
        <v>0.98957325381622852</v>
      </c>
      <c r="AA377" s="45"/>
      <c r="AB377" s="45"/>
      <c r="AC377" s="49">
        <f>AF377/AE377</f>
        <v>1.0228976680275863</v>
      </c>
      <c r="AD377" s="52">
        <f t="shared" ref="AD377:AK377" si="101">SUM(AD7:AD376)-AD17-AD45</f>
        <v>3802575</v>
      </c>
      <c r="AE377" s="47">
        <f t="shared" si="101"/>
        <v>345688.63636363653</v>
      </c>
      <c r="AF377" s="47">
        <f t="shared" si="101"/>
        <v>353604.10000000009</v>
      </c>
      <c r="AG377" s="47">
        <f t="shared" si="101"/>
        <v>7915.4636363636318</v>
      </c>
      <c r="AH377" s="47">
        <f t="shared" si="101"/>
        <v>76486.300000000105</v>
      </c>
      <c r="AI377" s="47">
        <f t="shared" si="101"/>
        <v>430090.4000000002</v>
      </c>
      <c r="AJ377" s="47">
        <f t="shared" si="101"/>
        <v>959.9</v>
      </c>
      <c r="AK377" s="47">
        <f t="shared" si="101"/>
        <v>429130.49999999971</v>
      </c>
    </row>
  </sheetData>
  <mergeCells count="20">
    <mergeCell ref="A1:AA1"/>
    <mergeCell ref="AB3:AB4"/>
    <mergeCell ref="AE3:AE4"/>
    <mergeCell ref="AC3:AC4"/>
    <mergeCell ref="R3:S3"/>
    <mergeCell ref="F3:I3"/>
    <mergeCell ref="B3:E3"/>
    <mergeCell ref="J3:M3"/>
    <mergeCell ref="A3:A4"/>
    <mergeCell ref="N3:Q3"/>
    <mergeCell ref="T3:W3"/>
    <mergeCell ref="X3:AA3"/>
    <mergeCell ref="AB1:AK1"/>
    <mergeCell ref="AJ3:AJ4"/>
    <mergeCell ref="AD3:AD4"/>
    <mergeCell ref="AK3:AK4"/>
    <mergeCell ref="AG3:AG4"/>
    <mergeCell ref="AF3:AF4"/>
    <mergeCell ref="AI3:AI4"/>
    <mergeCell ref="AH3:AH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377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09375" defaultRowHeight="13.2"/>
  <cols>
    <col min="1" max="1" width="39.109375" style="26" customWidth="1"/>
    <col min="2" max="2" width="10.6640625" style="26" customWidth="1"/>
    <col min="3" max="3" width="11.109375" style="26" customWidth="1"/>
    <col min="4" max="4" width="11" style="26" customWidth="1"/>
    <col min="5" max="5" width="12.6640625" style="26" customWidth="1"/>
    <col min="6" max="6" width="11" style="26" customWidth="1"/>
    <col min="7" max="7" width="11.44140625" style="26" customWidth="1"/>
    <col min="8" max="8" width="12.5546875" style="26" customWidth="1"/>
    <col min="9" max="9" width="10.88671875" style="26" customWidth="1"/>
    <col min="10" max="10" width="11.33203125" style="26" customWidth="1"/>
    <col min="11" max="11" width="14.44140625" style="26" customWidth="1"/>
    <col min="12" max="12" width="10.6640625" style="26" customWidth="1"/>
    <col min="13" max="13" width="11.33203125" style="26" customWidth="1"/>
    <col min="14" max="14" width="14.5546875" style="26" customWidth="1"/>
    <col min="15" max="15" width="10.5546875" style="26" customWidth="1"/>
    <col min="16" max="16" width="11.33203125" style="26" customWidth="1"/>
    <col min="17" max="17" width="14.6640625" style="26" customWidth="1"/>
    <col min="18" max="18" width="10.6640625" style="26" customWidth="1"/>
    <col min="19" max="19" width="11.5546875" style="26" customWidth="1"/>
    <col min="20" max="20" width="14.44140625" style="26" customWidth="1"/>
    <col min="21" max="21" width="10.6640625" style="26" customWidth="1"/>
    <col min="22" max="22" width="11.109375" style="26" customWidth="1"/>
    <col min="23" max="23" width="14.44140625" style="26" customWidth="1"/>
    <col min="24" max="24" width="8.33203125" style="26" customWidth="1"/>
    <col min="25" max="16384" width="9.109375" style="26"/>
  </cols>
  <sheetData>
    <row r="1" spans="1:24" ht="15.6">
      <c r="A1" s="79" t="s">
        <v>413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5.6" customHeight="1">
      <c r="X2" s="54" t="s">
        <v>403</v>
      </c>
    </row>
    <row r="3" spans="1:24" ht="192" customHeight="1">
      <c r="A3" s="80" t="s">
        <v>15</v>
      </c>
      <c r="B3" s="81" t="s">
        <v>372</v>
      </c>
      <c r="C3" s="83" t="s">
        <v>381</v>
      </c>
      <c r="D3" s="83"/>
      <c r="E3" s="83"/>
      <c r="F3" s="83" t="s">
        <v>17</v>
      </c>
      <c r="G3" s="83"/>
      <c r="H3" s="83"/>
      <c r="I3" s="83" t="s">
        <v>382</v>
      </c>
      <c r="J3" s="83"/>
      <c r="K3" s="83"/>
      <c r="L3" s="83" t="s">
        <v>404</v>
      </c>
      <c r="M3" s="83"/>
      <c r="N3" s="83"/>
      <c r="O3" s="83" t="s">
        <v>18</v>
      </c>
      <c r="P3" s="83"/>
      <c r="Q3" s="83"/>
      <c r="R3" s="83" t="s">
        <v>19</v>
      </c>
      <c r="S3" s="83"/>
      <c r="T3" s="83"/>
      <c r="U3" s="83" t="s">
        <v>20</v>
      </c>
      <c r="V3" s="83"/>
      <c r="W3" s="83"/>
      <c r="X3" s="82" t="s">
        <v>375</v>
      </c>
    </row>
    <row r="4" spans="1:24" ht="31.95" customHeight="1">
      <c r="A4" s="80"/>
      <c r="B4" s="81"/>
      <c r="C4" s="27" t="s">
        <v>373</v>
      </c>
      <c r="D4" s="27" t="s">
        <v>374</v>
      </c>
      <c r="E4" s="68" t="s">
        <v>414</v>
      </c>
      <c r="F4" s="27" t="s">
        <v>373</v>
      </c>
      <c r="G4" s="27" t="s">
        <v>374</v>
      </c>
      <c r="H4" s="68" t="s">
        <v>415</v>
      </c>
      <c r="I4" s="27" t="s">
        <v>373</v>
      </c>
      <c r="J4" s="27" t="s">
        <v>374</v>
      </c>
      <c r="K4" s="68" t="s">
        <v>416</v>
      </c>
      <c r="L4" s="27" t="s">
        <v>373</v>
      </c>
      <c r="M4" s="27" t="s">
        <v>374</v>
      </c>
      <c r="N4" s="68" t="s">
        <v>417</v>
      </c>
      <c r="O4" s="27" t="s">
        <v>373</v>
      </c>
      <c r="P4" s="27" t="s">
        <v>374</v>
      </c>
      <c r="Q4" s="68" t="s">
        <v>418</v>
      </c>
      <c r="R4" s="27" t="s">
        <v>373</v>
      </c>
      <c r="S4" s="27" t="s">
        <v>374</v>
      </c>
      <c r="T4" s="68" t="s">
        <v>419</v>
      </c>
      <c r="U4" s="27" t="s">
        <v>373</v>
      </c>
      <c r="V4" s="27" t="s">
        <v>374</v>
      </c>
      <c r="W4" s="68" t="s">
        <v>420</v>
      </c>
      <c r="X4" s="82"/>
    </row>
    <row r="5" spans="1:24">
      <c r="A5" s="28">
        <v>1</v>
      </c>
      <c r="B5" s="55">
        <v>2</v>
      </c>
      <c r="C5" s="28">
        <v>3</v>
      </c>
      <c r="D5" s="55">
        <v>4</v>
      </c>
      <c r="E5" s="28">
        <v>5</v>
      </c>
      <c r="F5" s="55">
        <v>6</v>
      </c>
      <c r="G5" s="28">
        <v>7</v>
      </c>
      <c r="H5" s="55">
        <v>8</v>
      </c>
      <c r="I5" s="28">
        <v>9</v>
      </c>
      <c r="J5" s="55">
        <v>10</v>
      </c>
      <c r="K5" s="28">
        <v>11</v>
      </c>
      <c r="L5" s="55">
        <v>12</v>
      </c>
      <c r="M5" s="28">
        <v>13</v>
      </c>
      <c r="N5" s="55">
        <v>14</v>
      </c>
      <c r="O5" s="28">
        <v>15</v>
      </c>
      <c r="P5" s="55">
        <v>16</v>
      </c>
      <c r="Q5" s="28">
        <v>17</v>
      </c>
      <c r="R5" s="55">
        <v>18</v>
      </c>
      <c r="S5" s="28">
        <v>19</v>
      </c>
      <c r="T5" s="55">
        <v>20</v>
      </c>
      <c r="U5" s="28">
        <v>21</v>
      </c>
      <c r="V5" s="55">
        <v>22</v>
      </c>
      <c r="W5" s="28">
        <v>23</v>
      </c>
      <c r="X5" s="55">
        <v>24</v>
      </c>
    </row>
    <row r="6" spans="1:24" ht="15" customHeight="1">
      <c r="A6" s="29" t="s">
        <v>4</v>
      </c>
      <c r="B6" s="59">
        <f>'Расчет субсидий'!AG6</f>
        <v>-1004.9272727272728</v>
      </c>
      <c r="C6" s="59"/>
      <c r="D6" s="59"/>
      <c r="E6" s="59">
        <f>SUM(E7:E16)</f>
        <v>-1476.1295870726176</v>
      </c>
      <c r="F6" s="59"/>
      <c r="G6" s="59"/>
      <c r="H6" s="59">
        <f>SUM(H7:H16)</f>
        <v>0</v>
      </c>
      <c r="I6" s="59"/>
      <c r="J6" s="59"/>
      <c r="K6" s="59">
        <f>SUM(K7:K16)</f>
        <v>1414.7093743402661</v>
      </c>
      <c r="L6" s="59"/>
      <c r="M6" s="59"/>
      <c r="N6" s="59">
        <f>SUM(N7:N16)</f>
        <v>-943.50705999492129</v>
      </c>
      <c r="O6" s="59"/>
      <c r="P6" s="59"/>
      <c r="Q6" s="59">
        <f>SUM(Q7:Q16)</f>
        <v>0</v>
      </c>
      <c r="R6" s="59"/>
      <c r="S6" s="59"/>
      <c r="T6" s="59"/>
      <c r="U6" s="59"/>
      <c r="V6" s="59"/>
      <c r="W6" s="59"/>
      <c r="X6" s="59"/>
    </row>
    <row r="7" spans="1:24" ht="15" customHeight="1">
      <c r="A7" s="31" t="s">
        <v>5</v>
      </c>
      <c r="B7" s="60">
        <f>'Расчет субсидий'!AG7</f>
        <v>3872.3272727272706</v>
      </c>
      <c r="C7" s="62">
        <f>'Расчет субсидий'!D7-1</f>
        <v>4.7378073908990403E-2</v>
      </c>
      <c r="D7" s="62">
        <f>C7*'Расчет субсидий'!E7</f>
        <v>0.71067110863485605</v>
      </c>
      <c r="E7" s="63">
        <f t="shared" ref="E7:E16" si="0">$B7*D7/$X7</f>
        <v>437.15516458785561</v>
      </c>
      <c r="F7" s="70" t="s">
        <v>412</v>
      </c>
      <c r="G7" s="70" t="s">
        <v>412</v>
      </c>
      <c r="H7" s="71" t="s">
        <v>412</v>
      </c>
      <c r="I7" s="62">
        <f>'Расчет субсидий'!L7-1</f>
        <v>0</v>
      </c>
      <c r="J7" s="62">
        <f>I7*'Расчет субсидий'!M7</f>
        <v>0</v>
      </c>
      <c r="K7" s="63">
        <f t="shared" ref="K7:K16" si="1">$B7*J7/$X7</f>
        <v>0</v>
      </c>
      <c r="L7" s="62">
        <f>'Расчет субсидий'!P7-1</f>
        <v>0.27922323332775667</v>
      </c>
      <c r="M7" s="62">
        <f>L7*'Расчет субсидий'!Q7</f>
        <v>5.5844646665551334</v>
      </c>
      <c r="N7" s="63">
        <f t="shared" ref="N7:N16" si="2">$B7*M7/$X7</f>
        <v>3435.1721081394153</v>
      </c>
      <c r="O7" s="62">
        <f>'Расчет субсидий'!R7-1</f>
        <v>0</v>
      </c>
      <c r="P7" s="62">
        <f>O7*'Расчет субсидий'!S7</f>
        <v>0</v>
      </c>
      <c r="Q7" s="63">
        <f t="shared" ref="Q7:Q16" si="3">$B7*P7/$X7</f>
        <v>0</v>
      </c>
      <c r="R7" s="30" t="s">
        <v>376</v>
      </c>
      <c r="S7" s="30" t="s">
        <v>376</v>
      </c>
      <c r="T7" s="30" t="s">
        <v>376</v>
      </c>
      <c r="U7" s="30" t="s">
        <v>376</v>
      </c>
      <c r="V7" s="30" t="s">
        <v>376</v>
      </c>
      <c r="W7" s="30" t="s">
        <v>376</v>
      </c>
      <c r="X7" s="62">
        <f>D7+J7+M7+P7</f>
        <v>6.2951357751899897</v>
      </c>
    </row>
    <row r="8" spans="1:24" ht="15" customHeight="1">
      <c r="A8" s="31" t="s">
        <v>6</v>
      </c>
      <c r="B8" s="60">
        <f>'Расчет субсидий'!AG8</f>
        <v>-871.26363636363749</v>
      </c>
      <c r="C8" s="62">
        <f>'Расчет субсидий'!D8-1</f>
        <v>-0.12983678430224044</v>
      </c>
      <c r="D8" s="62">
        <f>C8*'Расчет субсидий'!E8</f>
        <v>-2.5967356860448088</v>
      </c>
      <c r="E8" s="63">
        <f t="shared" si="0"/>
        <v>-947.16573878282816</v>
      </c>
      <c r="F8" s="70" t="s">
        <v>412</v>
      </c>
      <c r="G8" s="70" t="s">
        <v>412</v>
      </c>
      <c r="H8" s="71" t="s">
        <v>412</v>
      </c>
      <c r="I8" s="62">
        <f>'Расчет субсидий'!L8-1</f>
        <v>0</v>
      </c>
      <c r="J8" s="62">
        <f>I8*'Расчет субсидий'!M8</f>
        <v>0</v>
      </c>
      <c r="K8" s="63">
        <f t="shared" si="1"/>
        <v>0</v>
      </c>
      <c r="L8" s="62">
        <f>'Расчет субсидий'!P8-1</f>
        <v>1.0404604491449643E-2</v>
      </c>
      <c r="M8" s="62">
        <f>L8*'Расчет субсидий'!Q8</f>
        <v>0.20809208982899285</v>
      </c>
      <c r="N8" s="63">
        <f t="shared" si="2"/>
        <v>75.902102419190769</v>
      </c>
      <c r="O8" s="62">
        <f>'Расчет субсидий'!R8-1</f>
        <v>0</v>
      </c>
      <c r="P8" s="62">
        <f>O8*'Расчет субсидий'!S8</f>
        <v>0</v>
      </c>
      <c r="Q8" s="63">
        <f t="shared" si="3"/>
        <v>0</v>
      </c>
      <c r="R8" s="30" t="s">
        <v>376</v>
      </c>
      <c r="S8" s="30" t="s">
        <v>376</v>
      </c>
      <c r="T8" s="30" t="s">
        <v>376</v>
      </c>
      <c r="U8" s="30" t="s">
        <v>376</v>
      </c>
      <c r="V8" s="30" t="s">
        <v>376</v>
      </c>
      <c r="W8" s="30" t="s">
        <v>376</v>
      </c>
      <c r="X8" s="62">
        <f t="shared" ref="X8:X16" si="4">D8+J8+M8+P8</f>
        <v>-2.3886435962158159</v>
      </c>
    </row>
    <row r="9" spans="1:24" ht="15" customHeight="1">
      <c r="A9" s="31" t="s">
        <v>7</v>
      </c>
      <c r="B9" s="60">
        <f>'Расчет субсидий'!AG9</f>
        <v>-1914.7818181818147</v>
      </c>
      <c r="C9" s="62">
        <f>'Расчет субсидий'!D9-1</f>
        <v>7.8970992958624642E-3</v>
      </c>
      <c r="D9" s="62">
        <f>C9*'Расчет субсидий'!E9</f>
        <v>0.15794198591724928</v>
      </c>
      <c r="E9" s="63">
        <f t="shared" si="0"/>
        <v>99.379151640999282</v>
      </c>
      <c r="F9" s="70" t="s">
        <v>412</v>
      </c>
      <c r="G9" s="70" t="s">
        <v>412</v>
      </c>
      <c r="H9" s="71" t="s">
        <v>412</v>
      </c>
      <c r="I9" s="62">
        <f>'Расчет субсидий'!L9-1</f>
        <v>0</v>
      </c>
      <c r="J9" s="62">
        <f>I9*'Расчет субсидий'!M9</f>
        <v>0</v>
      </c>
      <c r="K9" s="63">
        <f t="shared" si="1"/>
        <v>0</v>
      </c>
      <c r="L9" s="62">
        <f>'Расчет субсидий'!P9-1</f>
        <v>-0.1600539843004587</v>
      </c>
      <c r="M9" s="62">
        <f>L9*'Расчет субсидий'!Q9</f>
        <v>-3.2010796860091739</v>
      </c>
      <c r="N9" s="63">
        <f t="shared" si="2"/>
        <v>-2014.160969822814</v>
      </c>
      <c r="O9" s="62">
        <f>'Расчет субсидий'!R9-1</f>
        <v>0</v>
      </c>
      <c r="P9" s="62">
        <f>O9*'Расчет субсидий'!S9</f>
        <v>0</v>
      </c>
      <c r="Q9" s="63">
        <f t="shared" si="3"/>
        <v>0</v>
      </c>
      <c r="R9" s="30" t="s">
        <v>376</v>
      </c>
      <c r="S9" s="30" t="s">
        <v>376</v>
      </c>
      <c r="T9" s="30" t="s">
        <v>376</v>
      </c>
      <c r="U9" s="30" t="s">
        <v>376</v>
      </c>
      <c r="V9" s="30" t="s">
        <v>376</v>
      </c>
      <c r="W9" s="30" t="s">
        <v>376</v>
      </c>
      <c r="X9" s="62">
        <f t="shared" si="4"/>
        <v>-3.0431377000919246</v>
      </c>
    </row>
    <row r="10" spans="1:24" ht="15" customHeight="1">
      <c r="A10" s="31" t="s">
        <v>8</v>
      </c>
      <c r="B10" s="60">
        <f>'Расчет субсидий'!AG10</f>
        <v>1181.1181818181794</v>
      </c>
      <c r="C10" s="62">
        <f>'Расчет субсидий'!D10-1</f>
        <v>9.8271316020472455E-2</v>
      </c>
      <c r="D10" s="62">
        <f>C10*'Расчет субсидий'!E10</f>
        <v>1.9654263204094491</v>
      </c>
      <c r="E10" s="63">
        <f t="shared" si="0"/>
        <v>708.85501859760643</v>
      </c>
      <c r="F10" s="70" t="s">
        <v>412</v>
      </c>
      <c r="G10" s="70" t="s">
        <v>412</v>
      </c>
      <c r="H10" s="71" t="s">
        <v>412</v>
      </c>
      <c r="I10" s="62">
        <f>'Расчет субсидий'!L10-1</f>
        <v>0.16666666666666674</v>
      </c>
      <c r="J10" s="62">
        <f>I10*'Расчет субсидий'!M10</f>
        <v>1.6666666666666674</v>
      </c>
      <c r="K10" s="63">
        <f t="shared" si="1"/>
        <v>601.10369884020383</v>
      </c>
      <c r="L10" s="62">
        <f>'Расчет субсидий'!P10-1</f>
        <v>-1.7861662342706919E-2</v>
      </c>
      <c r="M10" s="62">
        <f>L10*'Расчет субсидий'!Q10</f>
        <v>-0.35723324685413838</v>
      </c>
      <c r="N10" s="63">
        <f t="shared" si="2"/>
        <v>-128.84053561963086</v>
      </c>
      <c r="O10" s="62">
        <f>'Расчет субсидий'!R10-1</f>
        <v>0</v>
      </c>
      <c r="P10" s="62">
        <f>O10*'Расчет субсидий'!S10</f>
        <v>0</v>
      </c>
      <c r="Q10" s="63">
        <f t="shared" si="3"/>
        <v>0</v>
      </c>
      <c r="R10" s="30" t="s">
        <v>376</v>
      </c>
      <c r="S10" s="30" t="s">
        <v>376</v>
      </c>
      <c r="T10" s="30" t="s">
        <v>376</v>
      </c>
      <c r="U10" s="30" t="s">
        <v>376</v>
      </c>
      <c r="V10" s="30" t="s">
        <v>376</v>
      </c>
      <c r="W10" s="30" t="s">
        <v>376</v>
      </c>
      <c r="X10" s="62">
        <f t="shared" si="4"/>
        <v>3.2748597402219781</v>
      </c>
    </row>
    <row r="11" spans="1:24" ht="15" customHeight="1">
      <c r="A11" s="31" t="s">
        <v>9</v>
      </c>
      <c r="B11" s="60">
        <f>'Расчет субсидий'!AG11</f>
        <v>-1657.1454545454544</v>
      </c>
      <c r="C11" s="62">
        <f>'Расчет субсидий'!D11-1</f>
        <v>3.8151429681971827E-2</v>
      </c>
      <c r="D11" s="62">
        <f>C11*'Расчет субсидий'!E11</f>
        <v>0.76302859363943654</v>
      </c>
      <c r="E11" s="63">
        <f t="shared" si="0"/>
        <v>227.91754372376226</v>
      </c>
      <c r="F11" s="70" t="s">
        <v>412</v>
      </c>
      <c r="G11" s="70" t="s">
        <v>412</v>
      </c>
      <c r="H11" s="71" t="s">
        <v>412</v>
      </c>
      <c r="I11" s="62">
        <f>'Расчет субсидий'!L11-1</f>
        <v>0.19999999999999996</v>
      </c>
      <c r="J11" s="62">
        <f>I11*'Расчет субсидий'!M11</f>
        <v>1.9999999999999996</v>
      </c>
      <c r="K11" s="63">
        <f t="shared" si="1"/>
        <v>597.40236636915063</v>
      </c>
      <c r="L11" s="62">
        <f>'Расчет субсидий'!P11-1</f>
        <v>-0.41554327608812758</v>
      </c>
      <c r="M11" s="62">
        <f>L11*'Расчет субсидий'!Q11</f>
        <v>-8.3108655217625511</v>
      </c>
      <c r="N11" s="63">
        <f t="shared" si="2"/>
        <v>-2482.4653646383676</v>
      </c>
      <c r="O11" s="62">
        <f>'Расчет субсидий'!R11-1</f>
        <v>0</v>
      </c>
      <c r="P11" s="62">
        <f>O11*'Расчет субсидий'!S11</f>
        <v>0</v>
      </c>
      <c r="Q11" s="63">
        <f t="shared" si="3"/>
        <v>0</v>
      </c>
      <c r="R11" s="30" t="s">
        <v>376</v>
      </c>
      <c r="S11" s="30" t="s">
        <v>376</v>
      </c>
      <c r="T11" s="30" t="s">
        <v>376</v>
      </c>
      <c r="U11" s="30" t="s">
        <v>376</v>
      </c>
      <c r="V11" s="30" t="s">
        <v>376</v>
      </c>
      <c r="W11" s="30" t="s">
        <v>376</v>
      </c>
      <c r="X11" s="62">
        <f t="shared" si="4"/>
        <v>-5.5478369281231146</v>
      </c>
    </row>
    <row r="12" spans="1:24" ht="15" customHeight="1">
      <c r="A12" s="31" t="s">
        <v>10</v>
      </c>
      <c r="B12" s="60">
        <f>'Расчет субсидий'!AG12</f>
        <v>418.90909090909008</v>
      </c>
      <c r="C12" s="62">
        <f>'Расчет субсидий'!D12-1</f>
        <v>1.8863093811649634E-2</v>
      </c>
      <c r="D12" s="62">
        <f>C12*'Расчет субсидий'!E12</f>
        <v>0.37726187623299268</v>
      </c>
      <c r="E12" s="63">
        <f t="shared" si="0"/>
        <v>57.883152164853797</v>
      </c>
      <c r="F12" s="70" t="s">
        <v>412</v>
      </c>
      <c r="G12" s="70" t="s">
        <v>412</v>
      </c>
      <c r="H12" s="71" t="s">
        <v>412</v>
      </c>
      <c r="I12" s="62">
        <f>'Расчет субсидий'!L12-1</f>
        <v>0.18181818181818166</v>
      </c>
      <c r="J12" s="62">
        <f>I12*'Расчет субсидий'!M12</f>
        <v>2.7272727272727249</v>
      </c>
      <c r="K12" s="63">
        <f t="shared" si="1"/>
        <v>418.44446050066409</v>
      </c>
      <c r="L12" s="62">
        <f>'Расчет субсидий'!P12-1</f>
        <v>-1.8711678993104108E-2</v>
      </c>
      <c r="M12" s="62">
        <f>L12*'Расчет субсидий'!Q12</f>
        <v>-0.37423357986208217</v>
      </c>
      <c r="N12" s="63">
        <f t="shared" si="2"/>
        <v>-57.418521756427815</v>
      </c>
      <c r="O12" s="62">
        <f>'Расчет субсидий'!R12-1</f>
        <v>0</v>
      </c>
      <c r="P12" s="62">
        <f>O12*'Расчет субсидий'!S12</f>
        <v>0</v>
      </c>
      <c r="Q12" s="63">
        <f t="shared" si="3"/>
        <v>0</v>
      </c>
      <c r="R12" s="30" t="s">
        <v>376</v>
      </c>
      <c r="S12" s="30" t="s">
        <v>376</v>
      </c>
      <c r="T12" s="30" t="s">
        <v>376</v>
      </c>
      <c r="U12" s="30" t="s">
        <v>376</v>
      </c>
      <c r="V12" s="30" t="s">
        <v>376</v>
      </c>
      <c r="W12" s="30" t="s">
        <v>376</v>
      </c>
      <c r="X12" s="62">
        <f t="shared" si="4"/>
        <v>2.7303010236436354</v>
      </c>
    </row>
    <row r="13" spans="1:24" ht="15" customHeight="1">
      <c r="A13" s="31" t="s">
        <v>11</v>
      </c>
      <c r="B13" s="60">
        <f>'Расчет субсидий'!AG13</f>
        <v>-687.49090909090955</v>
      </c>
      <c r="C13" s="62">
        <f>'Расчет субсидий'!D13-1</f>
        <v>-0.11856463607950596</v>
      </c>
      <c r="D13" s="62">
        <f>C13*'Расчет субсидий'!E13</f>
        <v>-2.3712927215901192</v>
      </c>
      <c r="E13" s="63">
        <f t="shared" si="0"/>
        <v>-575.48756429891978</v>
      </c>
      <c r="F13" s="70" t="s">
        <v>412</v>
      </c>
      <c r="G13" s="70" t="s">
        <v>412</v>
      </c>
      <c r="H13" s="71" t="s">
        <v>412</v>
      </c>
      <c r="I13" s="62">
        <f>'Расчет субсидий'!L13-1</f>
        <v>-8.3333333333333259E-2</v>
      </c>
      <c r="J13" s="62">
        <f>I13*'Расчет субсидий'!M13</f>
        <v>-0.83333333333333259</v>
      </c>
      <c r="K13" s="63">
        <f t="shared" si="1"/>
        <v>-202.24115136975237</v>
      </c>
      <c r="L13" s="62">
        <f>'Расчет субсидий'!P13-1</f>
        <v>1.8591214408845147E-2</v>
      </c>
      <c r="M13" s="62">
        <f>L13*'Расчет субсидий'!Q13</f>
        <v>0.37182428817690294</v>
      </c>
      <c r="N13" s="63">
        <f t="shared" si="2"/>
        <v>90.237806577762626</v>
      </c>
      <c r="O13" s="62">
        <f>'Расчет субсидий'!R13-1</f>
        <v>0</v>
      </c>
      <c r="P13" s="62">
        <f>O13*'Расчет субсидий'!S13</f>
        <v>0</v>
      </c>
      <c r="Q13" s="63">
        <f t="shared" si="3"/>
        <v>0</v>
      </c>
      <c r="R13" s="30" t="s">
        <v>376</v>
      </c>
      <c r="S13" s="30" t="s">
        <v>376</v>
      </c>
      <c r="T13" s="30" t="s">
        <v>376</v>
      </c>
      <c r="U13" s="30" t="s">
        <v>376</v>
      </c>
      <c r="V13" s="30" t="s">
        <v>376</v>
      </c>
      <c r="W13" s="30" t="s">
        <v>376</v>
      </c>
      <c r="X13" s="62">
        <f t="shared" si="4"/>
        <v>-2.8328017667465488</v>
      </c>
    </row>
    <row r="14" spans="1:24" ht="15" customHeight="1">
      <c r="A14" s="31" t="s">
        <v>12</v>
      </c>
      <c r="B14" s="60">
        <f>'Расчет субсидий'!AG14</f>
        <v>757.15454545454668</v>
      </c>
      <c r="C14" s="62">
        <f>'Расчет субсидий'!D14-1</f>
        <v>0.26662317429406035</v>
      </c>
      <c r="D14" s="62">
        <f>C14*'Расчет субсидий'!E14</f>
        <v>5.332463485881207</v>
      </c>
      <c r="E14" s="63">
        <f t="shared" si="0"/>
        <v>756.28817313235697</v>
      </c>
      <c r="F14" s="70" t="s">
        <v>412</v>
      </c>
      <c r="G14" s="70" t="s">
        <v>412</v>
      </c>
      <c r="H14" s="71" t="s">
        <v>412</v>
      </c>
      <c r="I14" s="62">
        <f>'Расчет субсидий'!L14-1</f>
        <v>0</v>
      </c>
      <c r="J14" s="62">
        <f>I14*'Расчет субсидий'!M14</f>
        <v>0</v>
      </c>
      <c r="K14" s="63">
        <f t="shared" si="1"/>
        <v>0</v>
      </c>
      <c r="L14" s="62">
        <f>'Расчет субсидий'!P14-1</f>
        <v>3.0543243550407162E-4</v>
      </c>
      <c r="M14" s="62">
        <f>L14*'Расчет субсидий'!Q14</f>
        <v>6.1086487100814324E-3</v>
      </c>
      <c r="N14" s="63">
        <f t="shared" si="2"/>
        <v>0.8663723221897246</v>
      </c>
      <c r="O14" s="62">
        <f>'Расчет субсидий'!R14-1</f>
        <v>0</v>
      </c>
      <c r="P14" s="62">
        <f>O14*'Расчет субсидий'!S14</f>
        <v>0</v>
      </c>
      <c r="Q14" s="63">
        <f t="shared" si="3"/>
        <v>0</v>
      </c>
      <c r="R14" s="30" t="s">
        <v>376</v>
      </c>
      <c r="S14" s="30" t="s">
        <v>376</v>
      </c>
      <c r="T14" s="30" t="s">
        <v>376</v>
      </c>
      <c r="U14" s="30" t="s">
        <v>376</v>
      </c>
      <c r="V14" s="30" t="s">
        <v>376</v>
      </c>
      <c r="W14" s="30" t="s">
        <v>376</v>
      </c>
      <c r="X14" s="62">
        <f t="shared" si="4"/>
        <v>5.3385721345912884</v>
      </c>
    </row>
    <row r="15" spans="1:24" ht="15" customHeight="1">
      <c r="A15" s="31" t="s">
        <v>13</v>
      </c>
      <c r="B15" s="60">
        <f>'Расчет субсидий'!AG15</f>
        <v>-578.22727272727207</v>
      </c>
      <c r="C15" s="62">
        <f>'Расчет субсидий'!D15-1</f>
        <v>-0.2243169715367771</v>
      </c>
      <c r="D15" s="62">
        <f>C15*'Расчет субсидий'!E15</f>
        <v>-4.4863394307355424</v>
      </c>
      <c r="E15" s="63">
        <f t="shared" si="0"/>
        <v>-1149.7454528702965</v>
      </c>
      <c r="F15" s="70" t="s">
        <v>412</v>
      </c>
      <c r="G15" s="70" t="s">
        <v>412</v>
      </c>
      <c r="H15" s="71" t="s">
        <v>412</v>
      </c>
      <c r="I15" s="62">
        <f>'Расчет субсидий'!L15-1</f>
        <v>0</v>
      </c>
      <c r="J15" s="62">
        <f>I15*'Расчет субсидий'!M15</f>
        <v>0</v>
      </c>
      <c r="K15" s="63">
        <f t="shared" si="1"/>
        <v>0</v>
      </c>
      <c r="L15" s="62">
        <f>'Расчет субсидий'!P15-1</f>
        <v>0.11150400902029567</v>
      </c>
      <c r="M15" s="62">
        <f>L15*'Расчет субсидий'!Q15</f>
        <v>2.2300801804059134</v>
      </c>
      <c r="N15" s="63">
        <f t="shared" si="2"/>
        <v>571.51818014302444</v>
      </c>
      <c r="O15" s="62">
        <f>'Расчет субсидий'!R15-1</f>
        <v>0</v>
      </c>
      <c r="P15" s="62">
        <f>O15*'Расчет субсидий'!S15</f>
        <v>0</v>
      </c>
      <c r="Q15" s="63">
        <f t="shared" si="3"/>
        <v>0</v>
      </c>
      <c r="R15" s="30" t="s">
        <v>376</v>
      </c>
      <c r="S15" s="30" t="s">
        <v>376</v>
      </c>
      <c r="T15" s="30" t="s">
        <v>376</v>
      </c>
      <c r="U15" s="30" t="s">
        <v>376</v>
      </c>
      <c r="V15" s="30" t="s">
        <v>376</v>
      </c>
      <c r="W15" s="30" t="s">
        <v>376</v>
      </c>
      <c r="X15" s="62">
        <f t="shared" si="4"/>
        <v>-2.256259250329629</v>
      </c>
    </row>
    <row r="16" spans="1:24" ht="15" customHeight="1">
      <c r="A16" s="31" t="s">
        <v>14</v>
      </c>
      <c r="B16" s="60">
        <f>'Расчет субсидий'!AG16</f>
        <v>-1525.5272727272713</v>
      </c>
      <c r="C16" s="62">
        <f>'Расчет субсидий'!D16-1</f>
        <v>-0.36114664920542972</v>
      </c>
      <c r="D16" s="62">
        <f>C16*'Расчет субсидий'!E16</f>
        <v>-7.2229329841085939</v>
      </c>
      <c r="E16" s="63">
        <f t="shared" si="0"/>
        <v>-1091.2090349680075</v>
      </c>
      <c r="F16" s="70" t="s">
        <v>412</v>
      </c>
      <c r="G16" s="70" t="s">
        <v>412</v>
      </c>
      <c r="H16" s="71" t="s">
        <v>412</v>
      </c>
      <c r="I16" s="62">
        <f>'Расчет субсидий'!L16-1</f>
        <v>0</v>
      </c>
      <c r="J16" s="62">
        <f>I16*'Расчет субсидий'!M16</f>
        <v>0</v>
      </c>
      <c r="K16" s="63">
        <f t="shared" si="1"/>
        <v>0</v>
      </c>
      <c r="L16" s="62">
        <f>'Расчет субсидий'!P16-1</f>
        <v>-0.14374200655345926</v>
      </c>
      <c r="M16" s="62">
        <f>L16*'Расчет субсидий'!Q16</f>
        <v>-2.8748401310691851</v>
      </c>
      <c r="N16" s="63">
        <f t="shared" si="2"/>
        <v>-434.31823775926387</v>
      </c>
      <c r="O16" s="62">
        <f>'Расчет субсидий'!R16-1</f>
        <v>0</v>
      </c>
      <c r="P16" s="62">
        <f>O16*'Расчет субсидий'!S16</f>
        <v>0</v>
      </c>
      <c r="Q16" s="63">
        <f t="shared" si="3"/>
        <v>0</v>
      </c>
      <c r="R16" s="30" t="s">
        <v>376</v>
      </c>
      <c r="S16" s="30" t="s">
        <v>376</v>
      </c>
      <c r="T16" s="30" t="s">
        <v>376</v>
      </c>
      <c r="U16" s="30" t="s">
        <v>376</v>
      </c>
      <c r="V16" s="30" t="s">
        <v>376</v>
      </c>
      <c r="W16" s="30" t="s">
        <v>376</v>
      </c>
      <c r="X16" s="62">
        <f t="shared" si="4"/>
        <v>-10.097773115177779</v>
      </c>
    </row>
    <row r="17" spans="1:24" ht="15" customHeight="1">
      <c r="A17" s="32" t="s">
        <v>21</v>
      </c>
      <c r="B17" s="59">
        <f>'Расчет субсидий'!AG17</f>
        <v>6469.8090909090915</v>
      </c>
      <c r="C17" s="59"/>
      <c r="D17" s="59"/>
      <c r="E17" s="59">
        <f>SUM(E18:E44)</f>
        <v>389.38149670785157</v>
      </c>
      <c r="F17" s="59"/>
      <c r="G17" s="59"/>
      <c r="H17" s="59">
        <f>SUM(H18:H44)</f>
        <v>0</v>
      </c>
      <c r="I17" s="59"/>
      <c r="J17" s="59"/>
      <c r="K17" s="59">
        <f>SUM(K18:K44)</f>
        <v>777.31623727038004</v>
      </c>
      <c r="L17" s="59"/>
      <c r="M17" s="59"/>
      <c r="N17" s="59">
        <f>SUM(N18:N44)</f>
        <v>1517.1322490560824</v>
      </c>
      <c r="O17" s="59"/>
      <c r="P17" s="59"/>
      <c r="Q17" s="59">
        <f>SUM(Q18:Q44)</f>
        <v>0</v>
      </c>
      <c r="R17" s="59"/>
      <c r="S17" s="59"/>
      <c r="T17" s="59">
        <f>SUM(T18:T44)</f>
        <v>1372.5960397180488</v>
      </c>
      <c r="U17" s="59"/>
      <c r="V17" s="59"/>
      <c r="W17" s="59">
        <f>SUM(W18:W44)</f>
        <v>2413.3830681567283</v>
      </c>
      <c r="X17" s="59"/>
    </row>
    <row r="18" spans="1:24" ht="15" customHeight="1">
      <c r="A18" s="33" t="s">
        <v>0</v>
      </c>
      <c r="B18" s="60">
        <f>'Расчет субсидий'!AG18</f>
        <v>-46.954545454545496</v>
      </c>
      <c r="C18" s="62">
        <f>'Расчет субсидий'!D18-1</f>
        <v>0.14972577696526512</v>
      </c>
      <c r="D18" s="62">
        <f>C18*'Расчет субсидий'!E18</f>
        <v>1.4972577696526512</v>
      </c>
      <c r="E18" s="63">
        <f t="shared" ref="E18:E44" si="5">$B18*D18/$X18</f>
        <v>33.764076586166837</v>
      </c>
      <c r="F18" s="70" t="s">
        <v>412</v>
      </c>
      <c r="G18" s="70" t="s">
        <v>412</v>
      </c>
      <c r="H18" s="71" t="s">
        <v>412</v>
      </c>
      <c r="I18" s="62">
        <f>'Расчет субсидий'!L18-1</f>
        <v>4.3478260869565188E-2</v>
      </c>
      <c r="J18" s="62">
        <f>I18*'Расчет субсидий'!M18</f>
        <v>0.65217391304347783</v>
      </c>
      <c r="K18" s="63">
        <f t="shared" ref="K18:K44" si="6">$B18*J18/$X18</f>
        <v>14.706919806205798</v>
      </c>
      <c r="L18" s="62">
        <f>'Расчет субсидий'!P18-1</f>
        <v>-0.31878668399121823</v>
      </c>
      <c r="M18" s="62">
        <f>L18*'Расчет субсидий'!Q18</f>
        <v>-6.3757336798243642</v>
      </c>
      <c r="N18" s="63">
        <f t="shared" ref="N18:N44" si="7">$B18*M18/$X18</f>
        <v>-143.776686033517</v>
      </c>
      <c r="O18" s="62">
        <f>'Расчет субсидий'!R18-1</f>
        <v>0</v>
      </c>
      <c r="P18" s="62">
        <f>O18*'Расчет субсидий'!S18</f>
        <v>0</v>
      </c>
      <c r="Q18" s="63">
        <f t="shared" ref="Q18:Q44" si="8">$B18*P18/$X18</f>
        <v>0</v>
      </c>
      <c r="R18" s="62">
        <f>'Расчет субсидий'!V18-1</f>
        <v>9.4274809160305395E-2</v>
      </c>
      <c r="S18" s="62">
        <f>R18*'Расчет субсидий'!W18</f>
        <v>1.8854961832061079</v>
      </c>
      <c r="T18" s="63">
        <f t="shared" ref="T18:T44" si="9">$B18*S18/$X18</f>
        <v>42.51908978068969</v>
      </c>
      <c r="U18" s="62">
        <f>'Расчет субсидий'!Z18-1</f>
        <v>1.7241379310344751E-2</v>
      </c>
      <c r="V18" s="62">
        <f>U18*'Расчет субсидий'!AA18</f>
        <v>0.25862068965517127</v>
      </c>
      <c r="W18" s="63">
        <f t="shared" ref="W18:W44" si="10">$B18*V18/$X18</f>
        <v>5.8320544059091741</v>
      </c>
      <c r="X18" s="62">
        <f>D18+J18+M18+P18+S18+V18</f>
        <v>-2.0821851242669562</v>
      </c>
    </row>
    <row r="19" spans="1:24" ht="15" customHeight="1">
      <c r="A19" s="33" t="s">
        <v>22</v>
      </c>
      <c r="B19" s="60">
        <f>'Расчет субсидий'!AG19</f>
        <v>7.9363636363636942</v>
      </c>
      <c r="C19" s="62">
        <f>'Расчет субсидий'!D19-1</f>
        <v>-0.12090683874670805</v>
      </c>
      <c r="D19" s="62">
        <f>C19*'Расчет субсидий'!E19</f>
        <v>-1.2090683874670805</v>
      </c>
      <c r="E19" s="63">
        <f t="shared" si="5"/>
        <v>-50.530929835839466</v>
      </c>
      <c r="F19" s="70" t="s">
        <v>412</v>
      </c>
      <c r="G19" s="70" t="s">
        <v>412</v>
      </c>
      <c r="H19" s="71" t="s">
        <v>412</v>
      </c>
      <c r="I19" s="62">
        <f>'Расчет субсидий'!L19-1</f>
        <v>9.0909090909090828E-2</v>
      </c>
      <c r="J19" s="62">
        <f>I19*'Расчет субсидий'!M19</f>
        <v>0.45454545454545414</v>
      </c>
      <c r="K19" s="63">
        <f t="shared" si="6"/>
        <v>18.99694401815751</v>
      </c>
      <c r="L19" s="62">
        <f>'Расчет субсидий'!P19-1</f>
        <v>-3.1541097656451522E-2</v>
      </c>
      <c r="M19" s="62">
        <f>L19*'Расчет субсидий'!Q19</f>
        <v>-0.63082195312903044</v>
      </c>
      <c r="N19" s="63">
        <f t="shared" si="7"/>
        <v>-26.364116523837364</v>
      </c>
      <c r="O19" s="62">
        <f>'Расчет субсидий'!R19-1</f>
        <v>0</v>
      </c>
      <c r="P19" s="62">
        <f>O19*'Расчет субсидий'!S19</f>
        <v>0</v>
      </c>
      <c r="Q19" s="63">
        <f t="shared" si="8"/>
        <v>0</v>
      </c>
      <c r="R19" s="62">
        <f>'Расчет субсидий'!V19-1</f>
        <v>5.5589123867069379E-2</v>
      </c>
      <c r="S19" s="62">
        <f>R19*'Расчет субсидий'!W19</f>
        <v>1.1117824773413876</v>
      </c>
      <c r="T19" s="63">
        <f t="shared" si="9"/>
        <v>46.465032861330229</v>
      </c>
      <c r="U19" s="62">
        <f>'Расчет субсидий'!Z19-1</f>
        <v>4.6345811051693442E-2</v>
      </c>
      <c r="V19" s="62">
        <f>U19*'Расчет субсидий'!AA19</f>
        <v>0.46345811051693442</v>
      </c>
      <c r="W19" s="63">
        <f t="shared" si="10"/>
        <v>19.369433116552788</v>
      </c>
      <c r="X19" s="62">
        <f t="shared" ref="X19:X44" si="11">D19+J19+M19+P19+S19+V19</f>
        <v>0.18989570180766524</v>
      </c>
    </row>
    <row r="20" spans="1:24" ht="15" customHeight="1">
      <c r="A20" s="33" t="s">
        <v>23</v>
      </c>
      <c r="B20" s="60">
        <f>'Расчет субсидий'!AG20</f>
        <v>902.09090909090901</v>
      </c>
      <c r="C20" s="62">
        <f>'Расчет субсидий'!D20-1</f>
        <v>0.10845627036204286</v>
      </c>
      <c r="D20" s="62">
        <f>C20*'Расчет субсидий'!E20</f>
        <v>1.0845627036204286</v>
      </c>
      <c r="E20" s="63">
        <f t="shared" si="5"/>
        <v>9.7206606440017467</v>
      </c>
      <c r="F20" s="70" t="s">
        <v>412</v>
      </c>
      <c r="G20" s="70" t="s">
        <v>412</v>
      </c>
      <c r="H20" s="71" t="s">
        <v>412</v>
      </c>
      <c r="I20" s="62">
        <f>'Расчет субсидий'!L20-1</f>
        <v>0.15789473684210531</v>
      </c>
      <c r="J20" s="62">
        <f>I20*'Расчет субсидий'!M20</f>
        <v>1.5789473684210531</v>
      </c>
      <c r="K20" s="63">
        <f t="shared" si="6"/>
        <v>14.151705099138498</v>
      </c>
      <c r="L20" s="62">
        <f>'Расчет субсидий'!P20-1</f>
        <v>-0.27639201321840223</v>
      </c>
      <c r="M20" s="62">
        <f>L20*'Расчет субсидий'!Q20</f>
        <v>-5.5278402643680451</v>
      </c>
      <c r="N20" s="63">
        <f t="shared" si="7"/>
        <v>-49.54463132910422</v>
      </c>
      <c r="O20" s="62">
        <f>'Расчет субсидий'!R20-1</f>
        <v>0</v>
      </c>
      <c r="P20" s="62">
        <f>O20*'Расчет субсидий'!S20</f>
        <v>0</v>
      </c>
      <c r="Q20" s="63">
        <f t="shared" si="8"/>
        <v>0</v>
      </c>
      <c r="R20" s="62">
        <f>'Расчет субсидий'!V20-1</f>
        <v>0.28129713423831082</v>
      </c>
      <c r="S20" s="62">
        <f>R20*'Расчет субсидий'!W20</f>
        <v>5.6259426847662164</v>
      </c>
      <c r="T20" s="63">
        <f t="shared" si="9"/>
        <v>50.423898460329085</v>
      </c>
      <c r="U20" s="62">
        <f>'Расчет субсидий'!Z20-1</f>
        <v>4.894366197183099</v>
      </c>
      <c r="V20" s="62">
        <f>U20*'Расчет субсидий'!AA20</f>
        <v>97.887323943661983</v>
      </c>
      <c r="W20" s="63">
        <f t="shared" si="10"/>
        <v>877.33927621654391</v>
      </c>
      <c r="X20" s="62">
        <f t="shared" si="11"/>
        <v>100.64893643610164</v>
      </c>
    </row>
    <row r="21" spans="1:24" ht="15" customHeight="1">
      <c r="A21" s="33" t="s">
        <v>24</v>
      </c>
      <c r="B21" s="60">
        <f>'Расчет субсидий'!AG21</f>
        <v>-237.4727272727273</v>
      </c>
      <c r="C21" s="62">
        <f>'Расчет субсидий'!D21-1</f>
        <v>-3.6410256410256414E-2</v>
      </c>
      <c r="D21" s="62">
        <f>C21*'Расчет субсидий'!E21</f>
        <v>-0.36410256410256414</v>
      </c>
      <c r="E21" s="63">
        <f t="shared" si="5"/>
        <v>-11.796021371935637</v>
      </c>
      <c r="F21" s="70" t="s">
        <v>412</v>
      </c>
      <c r="G21" s="70" t="s">
        <v>412</v>
      </c>
      <c r="H21" s="71" t="s">
        <v>412</v>
      </c>
      <c r="I21" s="62">
        <f>'Расчет субсидий'!L21-1</f>
        <v>0</v>
      </c>
      <c r="J21" s="62">
        <f>I21*'Расчет субсидий'!M21</f>
        <v>0</v>
      </c>
      <c r="K21" s="63">
        <f t="shared" si="6"/>
        <v>0</v>
      </c>
      <c r="L21" s="62">
        <f>'Расчет субсидий'!P21-1</f>
        <v>-0.26450815238389613</v>
      </c>
      <c r="M21" s="62">
        <f>L21*'Расчет субсидий'!Q21</f>
        <v>-5.2901630476779227</v>
      </c>
      <c r="N21" s="63">
        <f t="shared" si="7"/>
        <v>-171.38818158351299</v>
      </c>
      <c r="O21" s="62">
        <f>'Расчет субсидий'!R21-1</f>
        <v>0</v>
      </c>
      <c r="P21" s="62">
        <f>O21*'Расчет субсидий'!S21</f>
        <v>0</v>
      </c>
      <c r="Q21" s="63">
        <f t="shared" si="8"/>
        <v>0</v>
      </c>
      <c r="R21" s="62">
        <f>'Расчет субсидий'!V21-1</f>
        <v>-9.5652173913043481E-2</v>
      </c>
      <c r="S21" s="62">
        <f>R21*'Расчет субсидий'!W21</f>
        <v>-0.95652173913043481</v>
      </c>
      <c r="T21" s="63">
        <f t="shared" si="9"/>
        <v>-30.988935508636786</v>
      </c>
      <c r="U21" s="62">
        <f>'Расчет субсидий'!Z21-1</f>
        <v>-4.7945205479452024E-2</v>
      </c>
      <c r="V21" s="62">
        <f>U21*'Расчет субсидий'!AA21</f>
        <v>-0.71917808219178037</v>
      </c>
      <c r="W21" s="63">
        <f t="shared" si="10"/>
        <v>-23.299588808641904</v>
      </c>
      <c r="X21" s="62">
        <f t="shared" si="11"/>
        <v>-7.3299654331027018</v>
      </c>
    </row>
    <row r="22" spans="1:24" ht="15" customHeight="1">
      <c r="A22" s="33" t="s">
        <v>25</v>
      </c>
      <c r="B22" s="60">
        <f>'Расчет субсидий'!AG22</f>
        <v>611.04545454545496</v>
      </c>
      <c r="C22" s="62">
        <f>'Расчет субсидий'!D22-1</f>
        <v>-1.9670488003508124E-2</v>
      </c>
      <c r="D22" s="62">
        <f>C22*'Расчет субсидий'!E22</f>
        <v>-0.19670488003508124</v>
      </c>
      <c r="E22" s="63">
        <f t="shared" si="5"/>
        <v>-9.8894438023671114</v>
      </c>
      <c r="F22" s="70" t="s">
        <v>412</v>
      </c>
      <c r="G22" s="70" t="s">
        <v>412</v>
      </c>
      <c r="H22" s="71" t="s">
        <v>412</v>
      </c>
      <c r="I22" s="62">
        <f>'Расчет субсидий'!L22-1</f>
        <v>0</v>
      </c>
      <c r="J22" s="62">
        <f>I22*'Расчет субсидий'!M22</f>
        <v>0</v>
      </c>
      <c r="K22" s="63">
        <f t="shared" si="6"/>
        <v>0</v>
      </c>
      <c r="L22" s="62">
        <f>'Расчет субсидий'!P22-1</f>
        <v>0.35539346331883848</v>
      </c>
      <c r="M22" s="62">
        <f>L22*'Расчет субсидий'!Q22</f>
        <v>7.1078692663767695</v>
      </c>
      <c r="N22" s="63">
        <f t="shared" si="7"/>
        <v>357.35195614805821</v>
      </c>
      <c r="O22" s="62">
        <f>'Расчет субсидий'!R22-1</f>
        <v>0</v>
      </c>
      <c r="P22" s="62">
        <f>O22*'Расчет субсидий'!S22</f>
        <v>0</v>
      </c>
      <c r="Q22" s="63">
        <f t="shared" si="8"/>
        <v>0</v>
      </c>
      <c r="R22" s="62">
        <f>'Расчет субсидий'!V22-1</f>
        <v>0.15910685059621232</v>
      </c>
      <c r="S22" s="62">
        <f>R22*'Расчет субсидий'!W22</f>
        <v>2.3866027589431846</v>
      </c>
      <c r="T22" s="63">
        <f t="shared" si="9"/>
        <v>119.98773929214977</v>
      </c>
      <c r="U22" s="62">
        <f>'Расчет субсидий'!Z22-1</f>
        <v>0.19041095890410964</v>
      </c>
      <c r="V22" s="62">
        <f>U22*'Расчет субсидий'!AA22</f>
        <v>2.8561643835616444</v>
      </c>
      <c r="W22" s="63">
        <f t="shared" si="10"/>
        <v>143.59520290761409</v>
      </c>
      <c r="X22" s="62">
        <f t="shared" si="11"/>
        <v>12.153931528846517</v>
      </c>
    </row>
    <row r="23" spans="1:24" ht="15" customHeight="1">
      <c r="A23" s="33" t="s">
        <v>26</v>
      </c>
      <c r="B23" s="60">
        <f>'Расчет субсидий'!AG23</f>
        <v>119.71818181818162</v>
      </c>
      <c r="C23" s="62">
        <f>'Расчет субсидий'!D23-1</f>
        <v>-0.14842180774748925</v>
      </c>
      <c r="D23" s="62">
        <f>C23*'Расчет субсидий'!E23</f>
        <v>-1.4842180774748925</v>
      </c>
      <c r="E23" s="63">
        <f t="shared" si="5"/>
        <v>-69.571732944247074</v>
      </c>
      <c r="F23" s="70" t="s">
        <v>412</v>
      </c>
      <c r="G23" s="70" t="s">
        <v>412</v>
      </c>
      <c r="H23" s="71" t="s">
        <v>412</v>
      </c>
      <c r="I23" s="62">
        <f>'Расчет субсидий'!L23-1</f>
        <v>0.14285714285714279</v>
      </c>
      <c r="J23" s="62">
        <f>I23*'Расчет субсидий'!M23</f>
        <v>2.1428571428571419</v>
      </c>
      <c r="K23" s="63">
        <f t="shared" si="6"/>
        <v>100.44500005967035</v>
      </c>
      <c r="L23" s="62">
        <f>'Расчет субсидий'!P23-1</f>
        <v>-5.5679461159310328E-2</v>
      </c>
      <c r="M23" s="62">
        <f>L23*'Расчет субсидий'!Q23</f>
        <v>-1.1135892231862066</v>
      </c>
      <c r="N23" s="63">
        <f t="shared" si="7"/>
        <v>-52.198752475047179</v>
      </c>
      <c r="O23" s="62">
        <f>'Расчет субсидий'!R23-1</f>
        <v>0</v>
      </c>
      <c r="P23" s="62">
        <f>O23*'Расчет субсидий'!S23</f>
        <v>0</v>
      </c>
      <c r="Q23" s="63">
        <f t="shared" si="8"/>
        <v>0</v>
      </c>
      <c r="R23" s="62">
        <f>'Расчет субсидий'!V23-1</f>
        <v>8.9487179487179436E-2</v>
      </c>
      <c r="S23" s="62">
        <f>R23*'Расчет субсидий'!W23</f>
        <v>1.3423076923076915</v>
      </c>
      <c r="T23" s="63">
        <f t="shared" si="9"/>
        <v>62.919778242506311</v>
      </c>
      <c r="U23" s="62">
        <f>'Расчет субсидий'!Z23-1</f>
        <v>0.11111111111111116</v>
      </c>
      <c r="V23" s="62">
        <f>U23*'Расчет субсидий'!AA23</f>
        <v>1.6666666666666674</v>
      </c>
      <c r="W23" s="63">
        <f t="shared" si="10"/>
        <v>78.12388893529922</v>
      </c>
      <c r="X23" s="62">
        <f t="shared" si="11"/>
        <v>2.5540242011704017</v>
      </c>
    </row>
    <row r="24" spans="1:24" ht="15" customHeight="1">
      <c r="A24" s="33" t="s">
        <v>27</v>
      </c>
      <c r="B24" s="60">
        <f>'Расчет субсидий'!AG24</f>
        <v>784.9545454545455</v>
      </c>
      <c r="C24" s="62">
        <f>'Расчет субсидий'!D24-1</f>
        <v>-2.3954597026699331E-2</v>
      </c>
      <c r="D24" s="62">
        <f>C24*'Расчет субсидий'!E24</f>
        <v>-0.23954597026699331</v>
      </c>
      <c r="E24" s="63">
        <f t="shared" si="5"/>
        <v>-7.0237889728346605</v>
      </c>
      <c r="F24" s="70" t="s">
        <v>412</v>
      </c>
      <c r="G24" s="70" t="s">
        <v>412</v>
      </c>
      <c r="H24" s="71" t="s">
        <v>412</v>
      </c>
      <c r="I24" s="62">
        <f>'Расчет субсидий'!L24-1</f>
        <v>0</v>
      </c>
      <c r="J24" s="62">
        <f>I24*'Расчет субсидий'!M24</f>
        <v>0</v>
      </c>
      <c r="K24" s="63">
        <f t="shared" si="6"/>
        <v>0</v>
      </c>
      <c r="L24" s="62">
        <f>'Расчет субсидий'!P24-1</f>
        <v>1.2181122685338384</v>
      </c>
      <c r="M24" s="62">
        <f>L24*'Расчет субсидий'!Q24</f>
        <v>24.362245370676767</v>
      </c>
      <c r="N24" s="63">
        <f t="shared" si="7"/>
        <v>714.33165916892688</v>
      </c>
      <c r="O24" s="62">
        <f>'Расчет субсидий'!R24-1</f>
        <v>0</v>
      </c>
      <c r="P24" s="62">
        <f>O24*'Расчет субсидий'!S24</f>
        <v>0</v>
      </c>
      <c r="Q24" s="63">
        <f t="shared" si="8"/>
        <v>0</v>
      </c>
      <c r="R24" s="62">
        <f>'Расчет субсидий'!V24-1</f>
        <v>4.4878048780487845E-2</v>
      </c>
      <c r="S24" s="62">
        <f>R24*'Расчет субсидий'!W24</f>
        <v>0.67317073170731767</v>
      </c>
      <c r="T24" s="63">
        <f t="shared" si="9"/>
        <v>19.738212072325524</v>
      </c>
      <c r="U24" s="62">
        <f>'Расчет субсидий'!Z24-1</f>
        <v>9.8748261474269849E-2</v>
      </c>
      <c r="V24" s="62">
        <f>U24*'Расчет субсидий'!AA24</f>
        <v>1.974965229485397</v>
      </c>
      <c r="W24" s="63">
        <f t="shared" si="10"/>
        <v>57.908463186127634</v>
      </c>
      <c r="X24" s="62">
        <f t="shared" si="11"/>
        <v>26.770835361602494</v>
      </c>
    </row>
    <row r="25" spans="1:24" ht="15" customHeight="1">
      <c r="A25" s="33" t="s">
        <v>28</v>
      </c>
      <c r="B25" s="60">
        <f>'Расчет субсидий'!AG25</f>
        <v>-6.4818181818181984</v>
      </c>
      <c r="C25" s="62">
        <f>'Расчет субсидий'!D25-1</f>
        <v>-0.13676626123744051</v>
      </c>
      <c r="D25" s="62">
        <f>C25*'Расчет субсидий'!E25</f>
        <v>-1.3676626123744051</v>
      </c>
      <c r="E25" s="63">
        <f t="shared" si="5"/>
        <v>-21.416593328864916</v>
      </c>
      <c r="F25" s="70" t="s">
        <v>412</v>
      </c>
      <c r="G25" s="70" t="s">
        <v>412</v>
      </c>
      <c r="H25" s="71" t="s">
        <v>412</v>
      </c>
      <c r="I25" s="62">
        <f>'Расчет субсидий'!L25-1</f>
        <v>9.0909090909090828E-2</v>
      </c>
      <c r="J25" s="62">
        <f>I25*'Расчет субсидий'!M25</f>
        <v>0.90909090909090828</v>
      </c>
      <c r="K25" s="63">
        <f t="shared" si="6"/>
        <v>14.235696817921182</v>
      </c>
      <c r="L25" s="62">
        <f>'Расчет субсидий'!P25-1</f>
        <v>-0.29368537295452257</v>
      </c>
      <c r="M25" s="62">
        <f>L25*'Расчет субсидий'!Q25</f>
        <v>-5.8737074590904514</v>
      </c>
      <c r="N25" s="63">
        <f t="shared" si="7"/>
        <v>-91.977950443251316</v>
      </c>
      <c r="O25" s="62">
        <f>'Расчет субсидий'!R25-1</f>
        <v>0</v>
      </c>
      <c r="P25" s="62">
        <f>O25*'Расчет субсидий'!S25</f>
        <v>0</v>
      </c>
      <c r="Q25" s="63">
        <f t="shared" si="8"/>
        <v>0</v>
      </c>
      <c r="R25" s="62">
        <f>'Расчет субсидий'!V25-1</f>
        <v>0.16072585871678546</v>
      </c>
      <c r="S25" s="62">
        <f>R25*'Расчет субсидий'!W25</f>
        <v>2.410887880751782</v>
      </c>
      <c r="T25" s="63">
        <f t="shared" si="9"/>
        <v>37.752735825621208</v>
      </c>
      <c r="U25" s="62">
        <f>'Расчет субсидий'!Z25-1</f>
        <v>0.35074626865671643</v>
      </c>
      <c r="V25" s="62">
        <f>U25*'Расчет субсидий'!AA25</f>
        <v>3.5074626865671643</v>
      </c>
      <c r="W25" s="63">
        <f t="shared" si="10"/>
        <v>54.924292946755656</v>
      </c>
      <c r="X25" s="62">
        <f t="shared" si="11"/>
        <v>-0.41392859505500246</v>
      </c>
    </row>
    <row r="26" spans="1:24" ht="15" customHeight="1">
      <c r="A26" s="33" t="s">
        <v>29</v>
      </c>
      <c r="B26" s="60">
        <f>'Расчет субсидий'!AG26</f>
        <v>154.4818181818182</v>
      </c>
      <c r="C26" s="62">
        <f>'Расчет субсидий'!D26-1</f>
        <v>0.12255769230769231</v>
      </c>
      <c r="D26" s="62">
        <f>C26*'Расчет субсидий'!E26</f>
        <v>1.2255769230769231</v>
      </c>
      <c r="E26" s="63">
        <f t="shared" si="5"/>
        <v>53.540396304099566</v>
      </c>
      <c r="F26" s="70" t="s">
        <v>412</v>
      </c>
      <c r="G26" s="70" t="s">
        <v>412</v>
      </c>
      <c r="H26" s="71" t="s">
        <v>412</v>
      </c>
      <c r="I26" s="62">
        <f>'Расчет субсидий'!L26-1</f>
        <v>4.5454545454545192E-2</v>
      </c>
      <c r="J26" s="62">
        <f>I26*'Расчет субсидий'!M26</f>
        <v>0.68181818181817788</v>
      </c>
      <c r="K26" s="63">
        <f t="shared" si="6"/>
        <v>29.785821660412118</v>
      </c>
      <c r="L26" s="62">
        <f>'Расчет субсидий'!P26-1</f>
        <v>4.4793440555030095E-2</v>
      </c>
      <c r="M26" s="62">
        <f>L26*'Расчет субсидий'!Q26</f>
        <v>0.8958688111006019</v>
      </c>
      <c r="N26" s="63">
        <f t="shared" si="7"/>
        <v>39.136810003233244</v>
      </c>
      <c r="O26" s="62">
        <f>'Расчет субсидий'!R26-1</f>
        <v>0</v>
      </c>
      <c r="P26" s="62">
        <f>O26*'Расчет субсидий'!S26</f>
        <v>0</v>
      </c>
      <c r="Q26" s="63">
        <f t="shared" si="8"/>
        <v>0</v>
      </c>
      <c r="R26" s="62">
        <f>'Расчет субсидий'!V26-1</f>
        <v>2.8172043010752601E-2</v>
      </c>
      <c r="S26" s="62">
        <f>R26*'Расчет субсидий'!W26</f>
        <v>0.56344086021505202</v>
      </c>
      <c r="T26" s="63">
        <f t="shared" si="9"/>
        <v>24.614405168547083</v>
      </c>
      <c r="U26" s="62">
        <f>'Расчет субсидий'!Z26-1</f>
        <v>1.6949152542372836E-2</v>
      </c>
      <c r="V26" s="62">
        <f>U26*'Расчет субсидий'!AA26</f>
        <v>0.16949152542372836</v>
      </c>
      <c r="W26" s="63">
        <f t="shared" si="10"/>
        <v>7.4043850455261992</v>
      </c>
      <c r="X26" s="62">
        <f t="shared" si="11"/>
        <v>3.5361963016344831</v>
      </c>
    </row>
    <row r="27" spans="1:24" ht="15" customHeight="1">
      <c r="A27" s="33" t="s">
        <v>30</v>
      </c>
      <c r="B27" s="60">
        <f>'Расчет субсидий'!AG27</f>
        <v>131.75454545454545</v>
      </c>
      <c r="C27" s="62">
        <f>'Расчет субсидий'!D27-1</f>
        <v>-0.1168929110105581</v>
      </c>
      <c r="D27" s="62">
        <f>C27*'Расчет субсидий'!E27</f>
        <v>-1.168929110105581</v>
      </c>
      <c r="E27" s="63">
        <f t="shared" si="5"/>
        <v>-12.032760007516817</v>
      </c>
      <c r="F27" s="70" t="s">
        <v>412</v>
      </c>
      <c r="G27" s="70" t="s">
        <v>412</v>
      </c>
      <c r="H27" s="71" t="s">
        <v>412</v>
      </c>
      <c r="I27" s="62">
        <f>'Расчет субсидий'!L27-1</f>
        <v>4.1666666666666741E-2</v>
      </c>
      <c r="J27" s="62">
        <f>I27*'Расчет субсидий'!M27</f>
        <v>0.62500000000000111</v>
      </c>
      <c r="K27" s="63">
        <f t="shared" si="6"/>
        <v>6.4336450685352107</v>
      </c>
      <c r="L27" s="62">
        <f>'Расчет субсидий'!P27-1</f>
        <v>5.1700938721881862E-2</v>
      </c>
      <c r="M27" s="62">
        <f>L27*'Расчет субсидий'!Q27</f>
        <v>1.0340187744376372</v>
      </c>
      <c r="N27" s="63">
        <f t="shared" si="7"/>
        <v>10.644015662293626</v>
      </c>
      <c r="O27" s="62">
        <f>'Расчет субсидий'!R27-1</f>
        <v>0</v>
      </c>
      <c r="P27" s="62">
        <f>O27*'Расчет субсидий'!S27</f>
        <v>0</v>
      </c>
      <c r="Q27" s="63">
        <f t="shared" si="8"/>
        <v>0</v>
      </c>
      <c r="R27" s="62">
        <f>'Расчет субсидий'!V27-1</f>
        <v>0.11546391752577323</v>
      </c>
      <c r="S27" s="62">
        <f>R27*'Расчет субсидий'!W27</f>
        <v>2.3092783505154646</v>
      </c>
      <c r="T27" s="63">
        <f t="shared" si="9"/>
        <v>23.771323634670271</v>
      </c>
      <c r="U27" s="62">
        <f>'Расчет субсидий'!Z27-1</f>
        <v>0.49999999999999978</v>
      </c>
      <c r="V27" s="62">
        <f>U27*'Расчет субсидий'!AA27</f>
        <v>9.9999999999999964</v>
      </c>
      <c r="W27" s="63">
        <f t="shared" si="10"/>
        <v>102.93832109656316</v>
      </c>
      <c r="X27" s="62">
        <f t="shared" si="11"/>
        <v>12.799368014847518</v>
      </c>
    </row>
    <row r="28" spans="1:24" ht="15" customHeight="1">
      <c r="A28" s="33" t="s">
        <v>31</v>
      </c>
      <c r="B28" s="60">
        <f>'Расчет субсидий'!AG28</f>
        <v>1129.863636363636</v>
      </c>
      <c r="C28" s="62">
        <f>'Расчет субсидий'!D28-1</f>
        <v>-0.61415309380868655</v>
      </c>
      <c r="D28" s="62">
        <f>C28*'Расчет субсидий'!E28</f>
        <v>-6.1415309380868655</v>
      </c>
      <c r="E28" s="63">
        <f t="shared" si="5"/>
        <v>-114.53023855482247</v>
      </c>
      <c r="F28" s="70" t="s">
        <v>412</v>
      </c>
      <c r="G28" s="70" t="s">
        <v>412</v>
      </c>
      <c r="H28" s="71" t="s">
        <v>412</v>
      </c>
      <c r="I28" s="62">
        <f>'Расчет субсидий'!L28-1</f>
        <v>0</v>
      </c>
      <c r="J28" s="62">
        <f>I28*'Расчет субсидий'!M28</f>
        <v>0</v>
      </c>
      <c r="K28" s="63">
        <f t="shared" si="6"/>
        <v>0</v>
      </c>
      <c r="L28" s="62">
        <f>'Расчет субсидий'!P28-1</f>
        <v>3.05861591812487</v>
      </c>
      <c r="M28" s="62">
        <f>L28*'Расчет субсидий'!Q28</f>
        <v>61.1723183624974</v>
      </c>
      <c r="N28" s="63">
        <f t="shared" si="7"/>
        <v>1140.7709715439164</v>
      </c>
      <c r="O28" s="62">
        <f>'Расчет субсидий'!R28-1</f>
        <v>0</v>
      </c>
      <c r="P28" s="62">
        <f>O28*'Расчет субсидий'!S28</f>
        <v>0</v>
      </c>
      <c r="Q28" s="63">
        <f t="shared" si="8"/>
        <v>0</v>
      </c>
      <c r="R28" s="62">
        <f>'Расчет субсидий'!V28-1</f>
        <v>0.16201780415430256</v>
      </c>
      <c r="S28" s="62">
        <f>R28*'Расчет субсидий'!W28</f>
        <v>3.2403560830860512</v>
      </c>
      <c r="T28" s="63">
        <f t="shared" si="9"/>
        <v>60.427727050418795</v>
      </c>
      <c r="U28" s="62">
        <f>'Расчет субсидий'!Z28-1</f>
        <v>0.15441890579475581</v>
      </c>
      <c r="V28" s="62">
        <f>U28*'Расчет субсидий'!AA28</f>
        <v>2.3162835869213372</v>
      </c>
      <c r="W28" s="63">
        <f t="shared" si="10"/>
        <v>43.195176324123317</v>
      </c>
      <c r="X28" s="62">
        <f t="shared" si="11"/>
        <v>60.587427094417919</v>
      </c>
    </row>
    <row r="29" spans="1:24" ht="15" customHeight="1">
      <c r="A29" s="33" t="s">
        <v>32</v>
      </c>
      <c r="B29" s="60">
        <f>'Расчет субсидий'!AG29</f>
        <v>-688.06363636363676</v>
      </c>
      <c r="C29" s="62">
        <f>'Расчет субсидий'!D29-1</f>
        <v>-5.9403938554207447E-2</v>
      </c>
      <c r="D29" s="62">
        <f>C29*'Расчет субсидий'!E29</f>
        <v>-0.59403938554207447</v>
      </c>
      <c r="E29" s="63">
        <f t="shared" si="5"/>
        <v>-62.590943274213629</v>
      </c>
      <c r="F29" s="70" t="s">
        <v>412</v>
      </c>
      <c r="G29" s="70" t="s">
        <v>412</v>
      </c>
      <c r="H29" s="71" t="s">
        <v>412</v>
      </c>
      <c r="I29" s="62">
        <f>'Расчет субсидий'!L29-1</f>
        <v>0.10000000000000009</v>
      </c>
      <c r="J29" s="62">
        <f>I29*'Расчет субсидий'!M29</f>
        <v>0.50000000000000044</v>
      </c>
      <c r="K29" s="63">
        <f t="shared" si="6"/>
        <v>52.68248604181187</v>
      </c>
      <c r="L29" s="62">
        <f>'Расчет субсидий'!P29-1</f>
        <v>-5.9798790753995523E-2</v>
      </c>
      <c r="M29" s="62">
        <f>L29*'Расчет субсидий'!Q29</f>
        <v>-1.1959758150799105</v>
      </c>
      <c r="N29" s="63">
        <f t="shared" si="7"/>
        <v>-126.0139583685838</v>
      </c>
      <c r="O29" s="62">
        <f>'Расчет субсидий'!R29-1</f>
        <v>0</v>
      </c>
      <c r="P29" s="62">
        <f>O29*'Расчет субсидий'!S29</f>
        <v>0</v>
      </c>
      <c r="Q29" s="63">
        <f t="shared" si="8"/>
        <v>0</v>
      </c>
      <c r="R29" s="62">
        <f>'Расчет субсидий'!V29-1</f>
        <v>1.5044247787610709E-2</v>
      </c>
      <c r="S29" s="62">
        <f>R29*'Расчет субсидий'!W29</f>
        <v>0.22566371681416064</v>
      </c>
      <c r="T29" s="63">
        <f t="shared" si="9"/>
        <v>23.777051222410787</v>
      </c>
      <c r="U29" s="62">
        <f>'Расчет субсидий'!Z29-1</f>
        <v>-0.21863746958637464</v>
      </c>
      <c r="V29" s="62">
        <f>U29*'Расчет субсидий'!AA29</f>
        <v>-5.4659367396593659</v>
      </c>
      <c r="W29" s="63">
        <f t="shared" si="10"/>
        <v>-575.91827198506189</v>
      </c>
      <c r="X29" s="62">
        <f t="shared" si="11"/>
        <v>-6.5302882234671902</v>
      </c>
    </row>
    <row r="30" spans="1:24" ht="15" customHeight="1">
      <c r="A30" s="33" t="s">
        <v>33</v>
      </c>
      <c r="B30" s="60">
        <f>'Расчет субсидий'!AG30</f>
        <v>77.700000000000045</v>
      </c>
      <c r="C30" s="62">
        <f>'Расчет субсидий'!D30-1</f>
        <v>4.4225120939875628E-2</v>
      </c>
      <c r="D30" s="62">
        <f>C30*'Расчет субсидий'!E30</f>
        <v>0.44225120939875628</v>
      </c>
      <c r="E30" s="63">
        <f t="shared" si="5"/>
        <v>8.3602289449434206</v>
      </c>
      <c r="F30" s="70" t="s">
        <v>412</v>
      </c>
      <c r="G30" s="70" t="s">
        <v>412</v>
      </c>
      <c r="H30" s="71" t="s">
        <v>412</v>
      </c>
      <c r="I30" s="62">
        <f>'Расчет субсидий'!L30-1</f>
        <v>0</v>
      </c>
      <c r="J30" s="62">
        <f>I30*'Расчет субсидий'!M30</f>
        <v>0</v>
      </c>
      <c r="K30" s="63">
        <f t="shared" si="6"/>
        <v>0</v>
      </c>
      <c r="L30" s="62">
        <f>'Расчет субсидий'!P30-1</f>
        <v>0.15629854090804907</v>
      </c>
      <c r="M30" s="62">
        <f>L30*'Расчет субсидий'!Q30</f>
        <v>3.1259708181609813</v>
      </c>
      <c r="N30" s="63">
        <f t="shared" si="7"/>
        <v>59.092730917722164</v>
      </c>
      <c r="O30" s="62">
        <f>'Расчет субсидий'!R30-1</f>
        <v>0</v>
      </c>
      <c r="P30" s="62">
        <f>O30*'Расчет субсидий'!S30</f>
        <v>0</v>
      </c>
      <c r="Q30" s="63">
        <f t="shared" si="8"/>
        <v>0</v>
      </c>
      <c r="R30" s="62">
        <f>'Расчет субсидий'!V30-1</f>
        <v>-3.0529172320217124E-2</v>
      </c>
      <c r="S30" s="62">
        <f>R30*'Расчет субсидий'!W30</f>
        <v>-0.45793758480325686</v>
      </c>
      <c r="T30" s="63">
        <f t="shared" si="9"/>
        <v>-8.6567610672099544</v>
      </c>
      <c r="U30" s="62">
        <f>'Расчет субсидий'!Z30-1</f>
        <v>4.0000000000000036E-2</v>
      </c>
      <c r="V30" s="62">
        <f>U30*'Расчет субсидий'!AA30</f>
        <v>1.0000000000000009</v>
      </c>
      <c r="W30" s="63">
        <f t="shared" si="10"/>
        <v>18.903801204544404</v>
      </c>
      <c r="X30" s="62">
        <f t="shared" si="11"/>
        <v>4.1102844427564822</v>
      </c>
    </row>
    <row r="31" spans="1:24" ht="15" customHeight="1">
      <c r="A31" s="33" t="s">
        <v>34</v>
      </c>
      <c r="B31" s="60">
        <f>'Расчет субсидий'!AG31</f>
        <v>797.76363636363612</v>
      </c>
      <c r="C31" s="62">
        <f>'Расчет субсидий'!D31-1</f>
        <v>0.19261841993366779</v>
      </c>
      <c r="D31" s="62">
        <f>C31*'Расчет субсидий'!E31</f>
        <v>1.9261841993366779</v>
      </c>
      <c r="E31" s="63">
        <f t="shared" si="5"/>
        <v>72.1619396173691</v>
      </c>
      <c r="F31" s="70" t="s">
        <v>412</v>
      </c>
      <c r="G31" s="70" t="s">
        <v>412</v>
      </c>
      <c r="H31" s="71" t="s">
        <v>412</v>
      </c>
      <c r="I31" s="62">
        <f>'Расчет субсидий'!L31-1</f>
        <v>0.15384615384615374</v>
      </c>
      <c r="J31" s="62">
        <f>I31*'Расчет субсидий'!M31</f>
        <v>1.5384615384615374</v>
      </c>
      <c r="K31" s="63">
        <f t="shared" si="6"/>
        <v>57.636423702539851</v>
      </c>
      <c r="L31" s="62">
        <f>'Расчет субсидий'!P31-1</f>
        <v>0.5215029570583698</v>
      </c>
      <c r="M31" s="62">
        <f>L31*'Расчет субсидий'!Q31</f>
        <v>10.430059141167396</v>
      </c>
      <c r="N31" s="63">
        <f t="shared" si="7"/>
        <v>390.74835013686766</v>
      </c>
      <c r="O31" s="62">
        <f>'Расчет субсидий'!R31-1</f>
        <v>0</v>
      </c>
      <c r="P31" s="62">
        <f>O31*'Расчет субсидий'!S31</f>
        <v>0</v>
      </c>
      <c r="Q31" s="63">
        <f t="shared" si="8"/>
        <v>0</v>
      </c>
      <c r="R31" s="62">
        <f>'Расчет субсидий'!V31-1</f>
        <v>0.2994303797468354</v>
      </c>
      <c r="S31" s="62">
        <f>R31*'Расчет субсидий'!W31</f>
        <v>4.4914556962025305</v>
      </c>
      <c r="T31" s="63">
        <f t="shared" si="9"/>
        <v>168.26643830588495</v>
      </c>
      <c r="U31" s="62">
        <f>'Расчет субсидий'!Z31-1</f>
        <v>0.19387755102040827</v>
      </c>
      <c r="V31" s="62">
        <f>U31*'Расчет субсидий'!AA31</f>
        <v>2.9081632653061238</v>
      </c>
      <c r="W31" s="63">
        <f t="shared" si="10"/>
        <v>108.95048460097469</v>
      </c>
      <c r="X31" s="62">
        <f t="shared" si="11"/>
        <v>21.294323840474263</v>
      </c>
    </row>
    <row r="32" spans="1:24" ht="15" customHeight="1">
      <c r="A32" s="33" t="s">
        <v>35</v>
      </c>
      <c r="B32" s="60">
        <f>'Расчет субсидий'!AG32</f>
        <v>101.12727272727261</v>
      </c>
      <c r="C32" s="62">
        <f>'Расчет субсидий'!D32-1</f>
        <v>-0.27477432917027333</v>
      </c>
      <c r="D32" s="62">
        <f>C32*'Расчет субсидий'!E32</f>
        <v>-2.7477432917027333</v>
      </c>
      <c r="E32" s="63">
        <f t="shared" si="5"/>
        <v>-98.72428024014134</v>
      </c>
      <c r="F32" s="70" t="s">
        <v>412</v>
      </c>
      <c r="G32" s="70" t="s">
        <v>412</v>
      </c>
      <c r="H32" s="71" t="s">
        <v>412</v>
      </c>
      <c r="I32" s="62">
        <f>'Расчет субсидий'!L32-1</f>
        <v>0.15789473684210531</v>
      </c>
      <c r="J32" s="62">
        <f>I32*'Расчет субсидий'!M32</f>
        <v>2.3684210526315796</v>
      </c>
      <c r="K32" s="63">
        <f t="shared" si="6"/>
        <v>85.0955270940742</v>
      </c>
      <c r="L32" s="62">
        <f>'Расчет субсидий'!P32-1</f>
        <v>-5.6432957604306777E-2</v>
      </c>
      <c r="M32" s="62">
        <f>L32*'Расчет субсидий'!Q32</f>
        <v>-1.1286591520861355</v>
      </c>
      <c r="N32" s="63">
        <f t="shared" si="7"/>
        <v>-40.551845859335337</v>
      </c>
      <c r="O32" s="62">
        <f>'Расчет субсидий'!R32-1</f>
        <v>0</v>
      </c>
      <c r="P32" s="62">
        <f>O32*'Расчет субсидий'!S32</f>
        <v>0</v>
      </c>
      <c r="Q32" s="63">
        <f t="shared" si="8"/>
        <v>0</v>
      </c>
      <c r="R32" s="62">
        <f>'Расчет субсидий'!V32-1</f>
        <v>0.22959183673469385</v>
      </c>
      <c r="S32" s="62">
        <f>R32*'Расчет субсидий'!W32</f>
        <v>4.5918367346938771</v>
      </c>
      <c r="T32" s="63">
        <f t="shared" si="9"/>
        <v>164.98112395789892</v>
      </c>
      <c r="U32" s="62">
        <f>'Расчет субсидий'!Z32-1</f>
        <v>-2.6923076923076938E-2</v>
      </c>
      <c r="V32" s="62">
        <f>U32*'Расчет субсидий'!AA32</f>
        <v>-0.26923076923076938</v>
      </c>
      <c r="W32" s="63">
        <f t="shared" si="10"/>
        <v>-9.6732522252238216</v>
      </c>
      <c r="X32" s="62">
        <f t="shared" si="11"/>
        <v>2.8146245743058182</v>
      </c>
    </row>
    <row r="33" spans="1:24" ht="15" customHeight="1">
      <c r="A33" s="33" t="s">
        <v>1</v>
      </c>
      <c r="B33" s="60">
        <f>'Расчет субсидий'!AG33</f>
        <v>390.12727272727261</v>
      </c>
      <c r="C33" s="62">
        <f>'Расчет субсидий'!D33-1</f>
        <v>-0.11399843685593913</v>
      </c>
      <c r="D33" s="62">
        <f>C33*'Расчет субсидий'!E33</f>
        <v>-1.1399843685593913</v>
      </c>
      <c r="E33" s="63">
        <f t="shared" si="5"/>
        <v>-77.604843535061264</v>
      </c>
      <c r="F33" s="70" t="s">
        <v>412</v>
      </c>
      <c r="G33" s="70" t="s">
        <v>412</v>
      </c>
      <c r="H33" s="71" t="s">
        <v>412</v>
      </c>
      <c r="I33" s="62">
        <f>'Расчет субсидий'!L33-1</f>
        <v>0.11111111111111116</v>
      </c>
      <c r="J33" s="62">
        <f>I33*'Расчет субсидий'!M33</f>
        <v>1.1111111111111116</v>
      </c>
      <c r="K33" s="63">
        <f t="shared" si="6"/>
        <v>75.639286209522766</v>
      </c>
      <c r="L33" s="62">
        <f>'Расчет субсидий'!P33-1</f>
        <v>3.8766669138130094E-2</v>
      </c>
      <c r="M33" s="62">
        <f>L33*'Расчет субсидий'!Q33</f>
        <v>0.77533338276260189</v>
      </c>
      <c r="N33" s="63">
        <f t="shared" si="7"/>
        <v>52.78109728192009</v>
      </c>
      <c r="O33" s="62">
        <f>'Расчет субсидий'!R33-1</f>
        <v>0</v>
      </c>
      <c r="P33" s="62">
        <f>O33*'Расчет субсидий'!S33</f>
        <v>0</v>
      </c>
      <c r="Q33" s="63">
        <f t="shared" si="8"/>
        <v>0</v>
      </c>
      <c r="R33" s="62">
        <f>'Расчет субсидий'!V33-1</f>
        <v>7.7262693156732842E-2</v>
      </c>
      <c r="S33" s="62">
        <f>R33*'Расчет субсидий'!W33</f>
        <v>1.1589403973509926</v>
      </c>
      <c r="T33" s="63">
        <f t="shared" si="9"/>
        <v>78.895281973508759</v>
      </c>
      <c r="U33" s="62">
        <f>'Расчет субсидий'!Z33-1</f>
        <v>0.2550276243093923</v>
      </c>
      <c r="V33" s="62">
        <f>U33*'Расчет субсидий'!AA33</f>
        <v>3.8254143646408845</v>
      </c>
      <c r="W33" s="63">
        <f t="shared" si="10"/>
        <v>260.41645079738231</v>
      </c>
      <c r="X33" s="62">
        <f t="shared" si="11"/>
        <v>5.7308148873061988</v>
      </c>
    </row>
    <row r="34" spans="1:24" ht="15" customHeight="1">
      <c r="A34" s="33" t="s">
        <v>36</v>
      </c>
      <c r="B34" s="60">
        <f>'Расчет субсидий'!AG34</f>
        <v>485.25454545454568</v>
      </c>
      <c r="C34" s="62">
        <f>'Расчет субсидий'!D34-1</f>
        <v>1.2731196209735587</v>
      </c>
      <c r="D34" s="62">
        <f>C34*'Расчет субсидий'!E34</f>
        <v>12.731196209735586</v>
      </c>
      <c r="E34" s="63">
        <f t="shared" si="5"/>
        <v>274.38207977015674</v>
      </c>
      <c r="F34" s="70" t="s">
        <v>412</v>
      </c>
      <c r="G34" s="70" t="s">
        <v>412</v>
      </c>
      <c r="H34" s="71" t="s">
        <v>412</v>
      </c>
      <c r="I34" s="62">
        <f>'Расчет субсидий'!L34-1</f>
        <v>0</v>
      </c>
      <c r="J34" s="62">
        <f>I34*'Расчет субсидий'!M34</f>
        <v>0</v>
      </c>
      <c r="K34" s="63">
        <f t="shared" si="6"/>
        <v>0</v>
      </c>
      <c r="L34" s="62">
        <f>'Расчет субсидий'!P34-1</f>
        <v>-4.6107050110608783E-2</v>
      </c>
      <c r="M34" s="62">
        <f>L34*'Расчет субсидий'!Q34</f>
        <v>-0.92214100221217565</v>
      </c>
      <c r="N34" s="63">
        <f t="shared" si="7"/>
        <v>-19.873935006580844</v>
      </c>
      <c r="O34" s="62">
        <f>'Расчет субсидий'!R34-1</f>
        <v>0</v>
      </c>
      <c r="P34" s="62">
        <f>O34*'Расчет субсидий'!S34</f>
        <v>0</v>
      </c>
      <c r="Q34" s="63">
        <f t="shared" si="8"/>
        <v>0</v>
      </c>
      <c r="R34" s="62">
        <f>'Расчет субсидий'!V34-1</f>
        <v>0.2456521739130435</v>
      </c>
      <c r="S34" s="62">
        <f>R34*'Расчет субсидий'!W34</f>
        <v>2.456521739130435</v>
      </c>
      <c r="T34" s="63">
        <f t="shared" si="9"/>
        <v>52.942828991024555</v>
      </c>
      <c r="U34" s="62">
        <f>'Расчет субсидий'!Z34-1</f>
        <v>0.54999999999999982</v>
      </c>
      <c r="V34" s="62">
        <f>U34*'Расчет субсидий'!AA34</f>
        <v>8.2499999999999964</v>
      </c>
      <c r="W34" s="63">
        <f t="shared" si="10"/>
        <v>177.80357169994519</v>
      </c>
      <c r="X34" s="62">
        <f t="shared" si="11"/>
        <v>22.515576946653844</v>
      </c>
    </row>
    <row r="35" spans="1:24" ht="15" customHeight="1">
      <c r="A35" s="33" t="s">
        <v>37</v>
      </c>
      <c r="B35" s="60">
        <f>'Расчет субсидий'!AG35</f>
        <v>225.18181818181802</v>
      </c>
      <c r="C35" s="62">
        <f>'Расчет субсидий'!D35-1</f>
        <v>0.5391070946857297</v>
      </c>
      <c r="D35" s="62">
        <f>C35*'Расчет субсидий'!E35</f>
        <v>5.3910709468572975</v>
      </c>
      <c r="E35" s="63">
        <f t="shared" si="5"/>
        <v>139.22248055971639</v>
      </c>
      <c r="F35" s="70" t="s">
        <v>412</v>
      </c>
      <c r="G35" s="70" t="s">
        <v>412</v>
      </c>
      <c r="H35" s="71" t="s">
        <v>412</v>
      </c>
      <c r="I35" s="62">
        <f>'Расчет субсидий'!L35-1</f>
        <v>8.6956521739130599E-2</v>
      </c>
      <c r="J35" s="62">
        <f>I35*'Расчет субсидий'!M35</f>
        <v>1.304347826086959</v>
      </c>
      <c r="K35" s="63">
        <f t="shared" si="6"/>
        <v>33.684316465239569</v>
      </c>
      <c r="L35" s="62">
        <f>'Расчет субсидий'!P35-1</f>
        <v>-0.25521877913053292</v>
      </c>
      <c r="M35" s="62">
        <f>L35*'Расчет субсидий'!Q35</f>
        <v>-5.1043755826106585</v>
      </c>
      <c r="N35" s="63">
        <f t="shared" si="7"/>
        <v>-131.81867523627568</v>
      </c>
      <c r="O35" s="62">
        <f>'Расчет субсидий'!R35-1</f>
        <v>0</v>
      </c>
      <c r="P35" s="62">
        <f>O35*'Расчет субсидий'!S35</f>
        <v>0</v>
      </c>
      <c r="Q35" s="63">
        <f t="shared" si="8"/>
        <v>0</v>
      </c>
      <c r="R35" s="62">
        <f>'Расчет субсидий'!V35-1</f>
        <v>0.29062500000000013</v>
      </c>
      <c r="S35" s="62">
        <f>R35*'Расчет субсидий'!W35</f>
        <v>4.3593750000000018</v>
      </c>
      <c r="T35" s="63">
        <f t="shared" si="9"/>
        <v>112.57930143616773</v>
      </c>
      <c r="U35" s="62">
        <f>'Расчет субсидий'!Z35-1</f>
        <v>0.18461538461538463</v>
      </c>
      <c r="V35" s="62">
        <f>U35*'Расчет субсидий'!AA35</f>
        <v>2.7692307692307692</v>
      </c>
      <c r="W35" s="63">
        <f t="shared" si="10"/>
        <v>71.514394956970037</v>
      </c>
      <c r="X35" s="62">
        <f t="shared" si="11"/>
        <v>8.7196489595643687</v>
      </c>
    </row>
    <row r="36" spans="1:24" ht="15" customHeight="1">
      <c r="A36" s="33" t="s">
        <v>38</v>
      </c>
      <c r="B36" s="60">
        <f>'Расчет субсидий'!AG36</f>
        <v>310.0363636363636</v>
      </c>
      <c r="C36" s="62">
        <f>'Расчет субсидий'!D36-1</f>
        <v>-3.5058896466211964E-2</v>
      </c>
      <c r="D36" s="62">
        <f>C36*'Расчет субсидий'!E36</f>
        <v>-0.35058896466211964</v>
      </c>
      <c r="E36" s="63">
        <f t="shared" si="5"/>
        <v>-24.573015271939461</v>
      </c>
      <c r="F36" s="70" t="s">
        <v>412</v>
      </c>
      <c r="G36" s="70" t="s">
        <v>412</v>
      </c>
      <c r="H36" s="71" t="s">
        <v>412</v>
      </c>
      <c r="I36" s="62">
        <f>'Расчет субсидий'!L36-1</f>
        <v>0.17647058823529416</v>
      </c>
      <c r="J36" s="62">
        <f>I36*'Расчет субсидий'!M36</f>
        <v>2.6470588235294121</v>
      </c>
      <c r="K36" s="63">
        <f t="shared" si="6"/>
        <v>185.53412529398548</v>
      </c>
      <c r="L36" s="62">
        <f>'Расчет субсидий'!P36-1</f>
        <v>3.3095581060359702E-2</v>
      </c>
      <c r="M36" s="62">
        <f>L36*'Расчет субсидий'!Q36</f>
        <v>0.66191162120719405</v>
      </c>
      <c r="N36" s="63">
        <f t="shared" si="7"/>
        <v>46.393828716982441</v>
      </c>
      <c r="O36" s="62">
        <f>'Расчет субсидий'!R36-1</f>
        <v>0</v>
      </c>
      <c r="P36" s="62">
        <f>O36*'Расчет субсидий'!S36</f>
        <v>0</v>
      </c>
      <c r="Q36" s="63">
        <f t="shared" si="8"/>
        <v>0</v>
      </c>
      <c r="R36" s="62">
        <f>'Расчет субсидий'!V36-1</f>
        <v>3.466666666666729E-3</v>
      </c>
      <c r="S36" s="62">
        <f>R36*'Расчет субсидий'!W36</f>
        <v>6.9333333333334579E-2</v>
      </c>
      <c r="T36" s="63">
        <f t="shared" si="9"/>
        <v>4.8596197558484766</v>
      </c>
      <c r="U36" s="62">
        <f>'Расчет субсидий'!Z36-1</f>
        <v>6.9782330345710575E-2</v>
      </c>
      <c r="V36" s="62">
        <f>U36*'Расчет субсидий'!AA36</f>
        <v>1.3956466069142115</v>
      </c>
      <c r="W36" s="63">
        <f t="shared" si="10"/>
        <v>97.821805141486649</v>
      </c>
      <c r="X36" s="62">
        <f t="shared" si="11"/>
        <v>4.4233614203220331</v>
      </c>
    </row>
    <row r="37" spans="1:24" ht="15" customHeight="1">
      <c r="A37" s="33" t="s">
        <v>39</v>
      </c>
      <c r="B37" s="60">
        <f>'Расчет субсидий'!AG37</f>
        <v>595.43636363636415</v>
      </c>
      <c r="C37" s="62">
        <f>'Расчет субсидий'!D37-1</f>
        <v>1.677378899514026E-2</v>
      </c>
      <c r="D37" s="62">
        <f>C37*'Расчет субсидий'!E37</f>
        <v>0.1677378899514026</v>
      </c>
      <c r="E37" s="63">
        <f t="shared" si="5"/>
        <v>10.481338532350149</v>
      </c>
      <c r="F37" s="70" t="s">
        <v>412</v>
      </c>
      <c r="G37" s="70" t="s">
        <v>412</v>
      </c>
      <c r="H37" s="71" t="s">
        <v>412</v>
      </c>
      <c r="I37" s="62">
        <f>'Расчет субсидий'!L37-1</f>
        <v>0</v>
      </c>
      <c r="J37" s="62">
        <f>I37*'Расчет субсидий'!M37</f>
        <v>0</v>
      </c>
      <c r="K37" s="63">
        <f t="shared" si="6"/>
        <v>0</v>
      </c>
      <c r="L37" s="62">
        <f>'Расчет субсидий'!P37-1</f>
        <v>0.17177699880467934</v>
      </c>
      <c r="M37" s="62">
        <f>L37*'Расчет субсидий'!Q37</f>
        <v>3.4355399760935867</v>
      </c>
      <c r="N37" s="63">
        <f t="shared" si="7"/>
        <v>214.67455886855166</v>
      </c>
      <c r="O37" s="62">
        <f>'Расчет субсидий'!R37-1</f>
        <v>0</v>
      </c>
      <c r="P37" s="62">
        <f>O37*'Расчет субсидий'!S37</f>
        <v>0</v>
      </c>
      <c r="Q37" s="63">
        <f t="shared" si="8"/>
        <v>0</v>
      </c>
      <c r="R37" s="62">
        <f>'Расчет субсидий'!V37-1</f>
        <v>0.12591093117408914</v>
      </c>
      <c r="S37" s="62">
        <f>R37*'Расчет субсидий'!W37</f>
        <v>1.2591093117408914</v>
      </c>
      <c r="T37" s="63">
        <f t="shared" si="9"/>
        <v>78.677220450395481</v>
      </c>
      <c r="U37" s="62">
        <f>'Расчет субсидий'!Z37-1</f>
        <v>0.1333333333333333</v>
      </c>
      <c r="V37" s="62">
        <f>U37*'Расчет субсидий'!AA37</f>
        <v>4.6666666666666661</v>
      </c>
      <c r="W37" s="63">
        <f t="shared" si="10"/>
        <v>291.60324578506686</v>
      </c>
      <c r="X37" s="62">
        <f t="shared" si="11"/>
        <v>9.5290538444525463</v>
      </c>
    </row>
    <row r="38" spans="1:24" ht="15" customHeight="1">
      <c r="A38" s="33" t="s">
        <v>40</v>
      </c>
      <c r="B38" s="60">
        <f>'Расчет субсидий'!AG38</f>
        <v>35.218181818182074</v>
      </c>
      <c r="C38" s="62">
        <f>'Расчет субсидий'!D38-1</f>
        <v>0.11937637235534737</v>
      </c>
      <c r="D38" s="62">
        <f>C38*'Расчет субсидий'!E38</f>
        <v>1.1937637235534737</v>
      </c>
      <c r="E38" s="63">
        <f t="shared" si="5"/>
        <v>32.741202366973837</v>
      </c>
      <c r="F38" s="70" t="s">
        <v>412</v>
      </c>
      <c r="G38" s="70" t="s">
        <v>412</v>
      </c>
      <c r="H38" s="71" t="s">
        <v>412</v>
      </c>
      <c r="I38" s="62">
        <f>'Расчет субсидий'!L38-1</f>
        <v>8.3333333333333481E-2</v>
      </c>
      <c r="J38" s="62">
        <f>I38*'Расчет субсидий'!M38</f>
        <v>0.83333333333333481</v>
      </c>
      <c r="K38" s="63">
        <f t="shared" si="6"/>
        <v>22.855724937422593</v>
      </c>
      <c r="L38" s="62">
        <f>'Расчет субсидий'!P38-1</f>
        <v>-4.0051611907131579E-2</v>
      </c>
      <c r="M38" s="62">
        <f>L38*'Расчет субсидий'!Q38</f>
        <v>-0.80103223814263158</v>
      </c>
      <c r="N38" s="63">
        <f t="shared" si="7"/>
        <v>-21.969807001195136</v>
      </c>
      <c r="O38" s="62">
        <f>'Расчет субсидий'!R38-1</f>
        <v>0</v>
      </c>
      <c r="P38" s="62">
        <f>O38*'Расчет субсидий'!S38</f>
        <v>0</v>
      </c>
      <c r="Q38" s="63">
        <f t="shared" si="8"/>
        <v>0</v>
      </c>
      <c r="R38" s="62">
        <f>'Расчет субсидий'!V38-1</f>
        <v>1.1602209944751252E-2</v>
      </c>
      <c r="S38" s="62">
        <f>R38*'Расчет субсидий'!W38</f>
        <v>5.8011049723756258E-2</v>
      </c>
      <c r="T38" s="63">
        <f t="shared" si="9"/>
        <v>1.5910615149807787</v>
      </c>
      <c r="U38" s="62">
        <f>'Расчет субсидий'!Z38-1</f>
        <v>0</v>
      </c>
      <c r="V38" s="62">
        <f>U38*'Расчет субсидий'!AA38</f>
        <v>0</v>
      </c>
      <c r="W38" s="63">
        <f t="shared" si="10"/>
        <v>0</v>
      </c>
      <c r="X38" s="62">
        <f t="shared" si="11"/>
        <v>1.2840758684679332</v>
      </c>
    </row>
    <row r="39" spans="1:24" ht="15" customHeight="1">
      <c r="A39" s="33" t="s">
        <v>41</v>
      </c>
      <c r="B39" s="60">
        <f>'Расчет субсидий'!AG39</f>
        <v>-259.99090909090864</v>
      </c>
      <c r="C39" s="62">
        <f>'Расчет субсидий'!D39-1</f>
        <v>5.7312337952055703E-3</v>
      </c>
      <c r="D39" s="62">
        <f>C39*'Расчет субсидий'!E39</f>
        <v>5.7312337952055703E-2</v>
      </c>
      <c r="E39" s="63">
        <f t="shared" si="5"/>
        <v>4.8420945246095393</v>
      </c>
      <c r="F39" s="70" t="s">
        <v>412</v>
      </c>
      <c r="G39" s="70" t="s">
        <v>412</v>
      </c>
      <c r="H39" s="71" t="s">
        <v>412</v>
      </c>
      <c r="I39" s="62">
        <f>'Расчет субсидий'!L39-1</f>
        <v>0</v>
      </c>
      <c r="J39" s="62">
        <f>I39*'Расчет субсидий'!M39</f>
        <v>0</v>
      </c>
      <c r="K39" s="63">
        <f t="shared" si="6"/>
        <v>0</v>
      </c>
      <c r="L39" s="62">
        <f>'Расчет субсидий'!P39-1</f>
        <v>-0.1974909057154316</v>
      </c>
      <c r="M39" s="62">
        <f>L39*'Расчет субсидий'!Q39</f>
        <v>-3.9498181143086319</v>
      </c>
      <c r="N39" s="63">
        <f t="shared" si="7"/>
        <v>-333.70463233408196</v>
      </c>
      <c r="O39" s="62">
        <f>'Расчет субсидий'!R39-1</f>
        <v>0</v>
      </c>
      <c r="P39" s="62">
        <f>O39*'Расчет субсидий'!S39</f>
        <v>0</v>
      </c>
      <c r="Q39" s="63">
        <f t="shared" si="8"/>
        <v>0</v>
      </c>
      <c r="R39" s="62">
        <f>'Расчет субсидий'!V39-1</f>
        <v>8.712942877801888E-2</v>
      </c>
      <c r="S39" s="62">
        <f>R39*'Расчет субсидий'!W39</f>
        <v>1.3069414316702832</v>
      </c>
      <c r="T39" s="63">
        <f t="shared" si="9"/>
        <v>110.4183527737075</v>
      </c>
      <c r="U39" s="62">
        <f>'Расчет субсидий'!Z39-1</f>
        <v>-1.9670329670329667E-2</v>
      </c>
      <c r="V39" s="62">
        <f>U39*'Расчет субсидий'!AA39</f>
        <v>-0.49175824175824168</v>
      </c>
      <c r="W39" s="63">
        <f t="shared" si="10"/>
        <v>-41.54672405514367</v>
      </c>
      <c r="X39" s="62">
        <f t="shared" si="11"/>
        <v>-3.0773225864445348</v>
      </c>
    </row>
    <row r="40" spans="1:24" ht="15" customHeight="1">
      <c r="A40" s="33" t="s">
        <v>42</v>
      </c>
      <c r="B40" s="60">
        <f>'Расчет субсидий'!AG40</f>
        <v>502.59999999999991</v>
      </c>
      <c r="C40" s="62">
        <f>'Расчет субсидий'!D40-1</f>
        <v>0.83059822348726509</v>
      </c>
      <c r="D40" s="62">
        <f>C40*'Расчет субсидий'!E40</f>
        <v>8.3059822348726513</v>
      </c>
      <c r="E40" s="63">
        <f t="shared" si="5"/>
        <v>335.33487216705873</v>
      </c>
      <c r="F40" s="70" t="s">
        <v>412</v>
      </c>
      <c r="G40" s="70" t="s">
        <v>412</v>
      </c>
      <c r="H40" s="71" t="s">
        <v>412</v>
      </c>
      <c r="I40" s="62">
        <f>'Расчет субсидий'!L40-1</f>
        <v>-0.12500000000000011</v>
      </c>
      <c r="J40" s="62">
        <f>I40*'Расчет субсидий'!M40</f>
        <v>-0.62500000000000056</v>
      </c>
      <c r="K40" s="63">
        <f t="shared" si="6"/>
        <v>-25.232933225461597</v>
      </c>
      <c r="L40" s="62">
        <f>'Расчет субсидий'!P40-1</f>
        <v>0.21859437057503017</v>
      </c>
      <c r="M40" s="62">
        <f>L40*'Расчет субсидий'!Q40</f>
        <v>4.3718874115006034</v>
      </c>
      <c r="N40" s="63">
        <f t="shared" si="7"/>
        <v>176.50486899780921</v>
      </c>
      <c r="O40" s="62">
        <f>'Расчет субсидий'!R40-1</f>
        <v>0</v>
      </c>
      <c r="P40" s="62">
        <f>O40*'Расчет субсидий'!S40</f>
        <v>0</v>
      </c>
      <c r="Q40" s="63">
        <f t="shared" si="8"/>
        <v>0</v>
      </c>
      <c r="R40" s="62">
        <f>'Расчет субсидий'!V40-1</f>
        <v>2.3556942277691117E-2</v>
      </c>
      <c r="S40" s="62">
        <f>R40*'Расчет субсидий'!W40</f>
        <v>0.47113884555382235</v>
      </c>
      <c r="T40" s="63">
        <f t="shared" si="9"/>
        <v>19.021144047649045</v>
      </c>
      <c r="U40" s="62">
        <f>'Расчет субсидий'!Z40-1</f>
        <v>-5.0000000000001155E-3</v>
      </c>
      <c r="V40" s="62">
        <f>U40*'Расчет субсидий'!AA40</f>
        <v>-7.5000000000001732E-2</v>
      </c>
      <c r="W40" s="63">
        <f t="shared" si="10"/>
        <v>-3.027951987055459</v>
      </c>
      <c r="X40" s="62">
        <f t="shared" si="11"/>
        <v>12.449008491927074</v>
      </c>
    </row>
    <row r="41" spans="1:24" ht="15" customHeight="1">
      <c r="A41" s="33" t="s">
        <v>2</v>
      </c>
      <c r="B41" s="60">
        <f>'Расчет субсидий'!AG41</f>
        <v>-220.12727272727261</v>
      </c>
      <c r="C41" s="62">
        <f>'Расчет субсидий'!D41-1</f>
        <v>6.6200861956379642E-2</v>
      </c>
      <c r="D41" s="62">
        <f>C41*'Расчет субсидий'!E41</f>
        <v>0.66200861956379642</v>
      </c>
      <c r="E41" s="63">
        <f t="shared" si="5"/>
        <v>25.932320144779609</v>
      </c>
      <c r="F41" s="70" t="s">
        <v>412</v>
      </c>
      <c r="G41" s="70" t="s">
        <v>412</v>
      </c>
      <c r="H41" s="71" t="s">
        <v>412</v>
      </c>
      <c r="I41" s="62">
        <f>'Расчет субсидий'!L41-1</f>
        <v>0</v>
      </c>
      <c r="J41" s="62">
        <f>I41*'Расчет субсидий'!M41</f>
        <v>0</v>
      </c>
      <c r="K41" s="63">
        <f t="shared" si="6"/>
        <v>0</v>
      </c>
      <c r="L41" s="62">
        <f>'Расчет субсидий'!P41-1</f>
        <v>-0.36765832020921529</v>
      </c>
      <c r="M41" s="62">
        <f>L41*'Расчет субсидий'!Q41</f>
        <v>-7.3531664041843054</v>
      </c>
      <c r="N41" s="63">
        <f t="shared" si="7"/>
        <v>-288.03955059798045</v>
      </c>
      <c r="O41" s="62">
        <f>'Расчет субсидий'!R41-1</f>
        <v>0</v>
      </c>
      <c r="P41" s="62">
        <f>O41*'Расчет субсидий'!S41</f>
        <v>0</v>
      </c>
      <c r="Q41" s="63">
        <f t="shared" si="8"/>
        <v>0</v>
      </c>
      <c r="R41" s="62">
        <f>'Расчет субсидий'!V41-1</f>
        <v>4.6916890080428875E-2</v>
      </c>
      <c r="S41" s="62">
        <f>R41*'Расчет субсидий'!W41</f>
        <v>0.70375335120643312</v>
      </c>
      <c r="T41" s="63">
        <f t="shared" si="9"/>
        <v>27.567552244971996</v>
      </c>
      <c r="U41" s="62">
        <f>'Расчет субсидий'!Z41-1</f>
        <v>2.4528301886792336E-2</v>
      </c>
      <c r="V41" s="62">
        <f>U41*'Расчет субсидий'!AA41</f>
        <v>0.36792452830188505</v>
      </c>
      <c r="W41" s="63">
        <f t="shared" si="10"/>
        <v>14.412405480956203</v>
      </c>
      <c r="X41" s="62">
        <f t="shared" si="11"/>
        <v>-5.6194799051121906</v>
      </c>
    </row>
    <row r="42" spans="1:24" ht="15" customHeight="1">
      <c r="A42" s="33" t="s">
        <v>43</v>
      </c>
      <c r="B42" s="60">
        <f>'Расчет субсидий'!AG42</f>
        <v>-60.845454545454686</v>
      </c>
      <c r="C42" s="62">
        <f>'Расчет субсидий'!D42-1</f>
        <v>-0.1156553050452146</v>
      </c>
      <c r="D42" s="62">
        <f>C42*'Расчет субсидий'!E42</f>
        <v>-1.156553050452146</v>
      </c>
      <c r="E42" s="63">
        <f t="shared" si="5"/>
        <v>-29.632904794395543</v>
      </c>
      <c r="F42" s="70" t="s">
        <v>412</v>
      </c>
      <c r="G42" s="70" t="s">
        <v>412</v>
      </c>
      <c r="H42" s="71" t="s">
        <v>412</v>
      </c>
      <c r="I42" s="62">
        <f>'Расчет субсидий'!L42-1</f>
        <v>6.25E-2</v>
      </c>
      <c r="J42" s="62">
        <f>I42*'Расчет субсидий'!M42</f>
        <v>0.625</v>
      </c>
      <c r="K42" s="63">
        <f t="shared" si="6"/>
        <v>16.013589250624289</v>
      </c>
      <c r="L42" s="62">
        <f>'Расчет субсидий'!P42-1</f>
        <v>-0.10956864678333733</v>
      </c>
      <c r="M42" s="62">
        <f>L42*'Расчет субсидий'!Q42</f>
        <v>-2.1913729356667466</v>
      </c>
      <c r="N42" s="63">
        <f t="shared" si="7"/>
        <v>-56.146793738723204</v>
      </c>
      <c r="O42" s="62">
        <f>'Расчет субсидий'!R42-1</f>
        <v>0</v>
      </c>
      <c r="P42" s="62">
        <f>O42*'Расчет субсидий'!S42</f>
        <v>0</v>
      </c>
      <c r="Q42" s="63">
        <f t="shared" si="8"/>
        <v>0</v>
      </c>
      <c r="R42" s="62">
        <f>'Расчет субсидий'!V42-1</f>
        <v>4.6242774566473965E-3</v>
      </c>
      <c r="S42" s="62">
        <f>R42*'Расчет субсидий'!W42</f>
        <v>9.2485549132947931E-2</v>
      </c>
      <c r="T42" s="63">
        <f t="shared" si="9"/>
        <v>2.3696409526935351</v>
      </c>
      <c r="U42" s="62">
        <f>'Расчет субсидий'!Z42-1</f>
        <v>1.7045454545454364E-2</v>
      </c>
      <c r="V42" s="62">
        <f>U42*'Расчет субсидий'!AA42</f>
        <v>0.25568181818181546</v>
      </c>
      <c r="W42" s="63">
        <f t="shared" si="10"/>
        <v>6.5510137843462299</v>
      </c>
      <c r="X42" s="62">
        <f t="shared" si="11"/>
        <v>-2.3747586188041288</v>
      </c>
    </row>
    <row r="43" spans="1:24" ht="15" customHeight="1">
      <c r="A43" s="33" t="s">
        <v>3</v>
      </c>
      <c r="B43" s="60">
        <f>'Расчет субсидий'!AG43</f>
        <v>83.318181818181984</v>
      </c>
      <c r="C43" s="62">
        <f>'Расчет субсидий'!D43-1</f>
        <v>-7.2332885027807103E-2</v>
      </c>
      <c r="D43" s="62">
        <f>C43*'Расчет субсидий'!E43</f>
        <v>-0.72332885027807103</v>
      </c>
      <c r="E43" s="63">
        <f t="shared" si="5"/>
        <v>-18.540009345060248</v>
      </c>
      <c r="F43" s="70" t="s">
        <v>412</v>
      </c>
      <c r="G43" s="70" t="s">
        <v>412</v>
      </c>
      <c r="H43" s="71" t="s">
        <v>412</v>
      </c>
      <c r="I43" s="62">
        <f>'Расчет субсидий'!L43-1</f>
        <v>0.16666666666666674</v>
      </c>
      <c r="J43" s="62">
        <f>I43*'Расчет субсидий'!M43</f>
        <v>1.6666666666666674</v>
      </c>
      <c r="K43" s="63">
        <f t="shared" si="6"/>
        <v>42.719180305363821</v>
      </c>
      <c r="L43" s="62">
        <f>'Расчет субсидий'!P43-1</f>
        <v>5.7701440557226702E-2</v>
      </c>
      <c r="M43" s="62">
        <f>L43*'Расчет субсидий'!Q43</f>
        <v>1.154028811144534</v>
      </c>
      <c r="N43" s="63">
        <f t="shared" si="7"/>
        <v>29.579498916520787</v>
      </c>
      <c r="O43" s="62">
        <f>'Расчет субсидий'!R43-1</f>
        <v>0</v>
      </c>
      <c r="P43" s="62">
        <f>O43*'Расчет субсидий'!S43</f>
        <v>0</v>
      </c>
      <c r="Q43" s="63">
        <f t="shared" si="8"/>
        <v>0</v>
      </c>
      <c r="R43" s="62">
        <f>'Расчет субсидий'!V43-1</f>
        <v>5.3061224489795888E-2</v>
      </c>
      <c r="S43" s="62">
        <f>R43*'Расчет субсидий'!W43</f>
        <v>1.0612244897959178</v>
      </c>
      <c r="T43" s="63">
        <f t="shared" si="9"/>
        <v>27.200784194435709</v>
      </c>
      <c r="U43" s="62">
        <f>'Расчет субсидий'!Z43-1</f>
        <v>6.1349693251533388E-3</v>
      </c>
      <c r="V43" s="62">
        <f>U43*'Расчет субсидий'!AA43</f>
        <v>9.2024539877300082E-2</v>
      </c>
      <c r="W43" s="63">
        <f t="shared" si="10"/>
        <v>2.3587277469219141</v>
      </c>
      <c r="X43" s="62">
        <f t="shared" si="11"/>
        <v>3.2506156572063483</v>
      </c>
    </row>
    <row r="44" spans="1:24" ht="15" customHeight="1">
      <c r="A44" s="33" t="s">
        <v>44</v>
      </c>
      <c r="B44" s="60">
        <f>'Расчет субсидий'!AG44</f>
        <v>544.13636363636351</v>
      </c>
      <c r="C44" s="62">
        <f>'Расчет субсидий'!D44-1</f>
        <v>-5.9157488361530897E-3</v>
      </c>
      <c r="D44" s="62">
        <f>C44*'Расчет субсидий'!E44</f>
        <v>-5.9157488361530897E-2</v>
      </c>
      <c r="E44" s="63">
        <f t="shared" si="5"/>
        <v>-2.6446881751344504</v>
      </c>
      <c r="F44" s="70" t="s">
        <v>412</v>
      </c>
      <c r="G44" s="70" t="s">
        <v>412</v>
      </c>
      <c r="H44" s="71" t="s">
        <v>412</v>
      </c>
      <c r="I44" s="62">
        <f>'Расчет субсидий'!L44-1</f>
        <v>7.1428571428571397E-2</v>
      </c>
      <c r="J44" s="62">
        <f>I44*'Расчет субсидий'!M44</f>
        <v>0.71428571428571397</v>
      </c>
      <c r="K44" s="63">
        <f t="shared" si="6"/>
        <v>31.932778665216588</v>
      </c>
      <c r="L44" s="62">
        <f>'Расчет субсидий'!P44-1</f>
        <v>-0.18063456549163359</v>
      </c>
      <c r="M44" s="62">
        <f>L44*'Расчет субсидий'!Q44</f>
        <v>-3.6126913098326718</v>
      </c>
      <c r="N44" s="63">
        <f t="shared" si="7"/>
        <v>-161.50858077569342</v>
      </c>
      <c r="O44" s="62">
        <f>'Расчет субсидий'!R44-1</f>
        <v>0</v>
      </c>
      <c r="P44" s="62">
        <f>O44*'Расчет субсидий'!S44</f>
        <v>0</v>
      </c>
      <c r="Q44" s="63">
        <f t="shared" si="8"/>
        <v>0</v>
      </c>
      <c r="R44" s="62">
        <f>'Расчет субсидий'!V44-1</f>
        <v>0.11290322580645151</v>
      </c>
      <c r="S44" s="62">
        <f>R44*'Расчет субсидий'!W44</f>
        <v>1.1290322580645151</v>
      </c>
      <c r="T44" s="63">
        <f t="shared" si="9"/>
        <v>50.47439208372942</v>
      </c>
      <c r="U44" s="62">
        <f>'Расчет субсидий'!Z44-1</f>
        <v>0.93333333333333335</v>
      </c>
      <c r="V44" s="62">
        <f>U44*'Расчет субсидий'!AA44</f>
        <v>14</v>
      </c>
      <c r="W44" s="63">
        <f t="shared" si="10"/>
        <v>625.88246183824538</v>
      </c>
      <c r="X44" s="62">
        <f t="shared" si="11"/>
        <v>12.171469174156027</v>
      </c>
    </row>
    <row r="45" spans="1:24" ht="15" customHeight="1">
      <c r="A45" s="34" t="s">
        <v>45</v>
      </c>
      <c r="B45" s="59">
        <f>'Расчет субсидий'!AG45</f>
        <v>2450.5818181818186</v>
      </c>
      <c r="C45" s="59"/>
      <c r="D45" s="59"/>
      <c r="E45" s="59">
        <f>SUM(E47:E376)</f>
        <v>187.41714816837415</v>
      </c>
      <c r="F45" s="59"/>
      <c r="G45" s="59"/>
      <c r="H45" s="59"/>
      <c r="I45" s="59"/>
      <c r="J45" s="59"/>
      <c r="K45" s="59"/>
      <c r="L45" s="59"/>
      <c r="M45" s="59"/>
      <c r="N45" s="59">
        <f>SUM(N47:N376)</f>
        <v>-490.77780532455677</v>
      </c>
      <c r="O45" s="59"/>
      <c r="P45" s="59"/>
      <c r="Q45" s="59">
        <f>SUM(Q47:Q376)</f>
        <v>0</v>
      </c>
      <c r="R45" s="59"/>
      <c r="S45" s="59"/>
      <c r="T45" s="59">
        <f>SUM(T47:T376)</f>
        <v>1108.6807391786299</v>
      </c>
      <c r="U45" s="59"/>
      <c r="V45" s="59"/>
      <c r="W45" s="59">
        <f>SUM(W47:W376)</f>
        <v>1645.261736159372</v>
      </c>
      <c r="X45" s="59"/>
    </row>
    <row r="46" spans="1:24" ht="15" customHeight="1">
      <c r="A46" s="35" t="s">
        <v>46</v>
      </c>
      <c r="B46" s="64"/>
      <c r="C46" s="65"/>
      <c r="D46" s="65"/>
      <c r="E46" s="66"/>
      <c r="F46" s="65"/>
      <c r="G46" s="65"/>
      <c r="H46" s="66"/>
      <c r="I46" s="66"/>
      <c r="J46" s="66"/>
      <c r="K46" s="66"/>
      <c r="L46" s="65"/>
      <c r="M46" s="65"/>
      <c r="N46" s="66"/>
      <c r="O46" s="65"/>
      <c r="P46" s="65"/>
      <c r="Q46" s="66"/>
      <c r="R46" s="65"/>
      <c r="S46" s="65"/>
      <c r="T46" s="66"/>
      <c r="U46" s="65"/>
      <c r="V46" s="65"/>
      <c r="W46" s="66"/>
      <c r="X46" s="66"/>
    </row>
    <row r="47" spans="1:24" ht="15" customHeight="1">
      <c r="A47" s="36" t="s">
        <v>47</v>
      </c>
      <c r="B47" s="60">
        <f>'Расчет субсидий'!AG47</f>
        <v>-15.345454545454544</v>
      </c>
      <c r="C47" s="62">
        <f>'Расчет субсидий'!D47-1</f>
        <v>0.10000000000000009</v>
      </c>
      <c r="D47" s="62">
        <f>C47*'Расчет субсидий'!E47</f>
        <v>1.0000000000000009</v>
      </c>
      <c r="E47" s="63">
        <f>$B47*D47/$X47</f>
        <v>1.5142600466045126</v>
      </c>
      <c r="F47" s="30" t="s">
        <v>376</v>
      </c>
      <c r="G47" s="30" t="s">
        <v>376</v>
      </c>
      <c r="H47" s="30" t="s">
        <v>376</v>
      </c>
      <c r="I47" s="30" t="s">
        <v>376</v>
      </c>
      <c r="J47" s="30" t="s">
        <v>376</v>
      </c>
      <c r="K47" s="30" t="s">
        <v>376</v>
      </c>
      <c r="L47" s="62">
        <f>'Расчет субсидий'!P47-1</f>
        <v>-0.73017638646114724</v>
      </c>
      <c r="M47" s="62">
        <f>L47*'Расчет субсидий'!Q47</f>
        <v>-14.603527729222945</v>
      </c>
      <c r="N47" s="63">
        <f>$B47*M47/$X47</f>
        <v>-22.113538579843407</v>
      </c>
      <c r="O47" s="62">
        <f>'Расчет субсидий'!R47-1</f>
        <v>0</v>
      </c>
      <c r="P47" s="62">
        <f>O47*'Расчет субсидий'!S47</f>
        <v>0</v>
      </c>
      <c r="Q47" s="63">
        <f>$B47*P47/$X47</f>
        <v>0</v>
      </c>
      <c r="R47" s="62">
        <f>'Расчет субсидий'!V47-1</f>
        <v>0.19565217391304346</v>
      </c>
      <c r="S47" s="62">
        <f>R47*'Расчет субсидий'!W47</f>
        <v>5.8695652173913038</v>
      </c>
      <c r="T47" s="63">
        <f>$B47*S47/$X47</f>
        <v>8.8880480996351725</v>
      </c>
      <c r="U47" s="62">
        <f>'Расчет субсидий'!Z47-1</f>
        <v>-0.11999999999999988</v>
      </c>
      <c r="V47" s="62">
        <f>U47*'Расчет субсидий'!AA47</f>
        <v>-2.3999999999999977</v>
      </c>
      <c r="W47" s="63">
        <f>$B47*V47/$X47</f>
        <v>-3.6342241118508238</v>
      </c>
      <c r="X47" s="62">
        <f>D47+M47+P47+S47+V47</f>
        <v>-10.133962511831637</v>
      </c>
    </row>
    <row r="48" spans="1:24" ht="15" customHeight="1">
      <c r="A48" s="36" t="s">
        <v>48</v>
      </c>
      <c r="B48" s="60">
        <f>'Расчет субсидий'!AG48</f>
        <v>-8.2272727272727479</v>
      </c>
      <c r="C48" s="62">
        <f>'Расчет субсидий'!D48-1</f>
        <v>0.15169020111253739</v>
      </c>
      <c r="D48" s="62">
        <f>C48*'Расчет субсидий'!E48</f>
        <v>1.5169020111253739</v>
      </c>
      <c r="E48" s="63">
        <f>$B48*D48/$X48</f>
        <v>5.3769808375496932</v>
      </c>
      <c r="F48" s="30" t="s">
        <v>376</v>
      </c>
      <c r="G48" s="30" t="s">
        <v>376</v>
      </c>
      <c r="H48" s="30" t="s">
        <v>376</v>
      </c>
      <c r="I48" s="30" t="s">
        <v>376</v>
      </c>
      <c r="J48" s="30" t="s">
        <v>376</v>
      </c>
      <c r="K48" s="30" t="s">
        <v>376</v>
      </c>
      <c r="L48" s="62">
        <f>'Расчет субсидий'!P48-1</f>
        <v>-0.20439504496860672</v>
      </c>
      <c r="M48" s="62">
        <f>L48*'Расчет субсидий'!Q48</f>
        <v>-4.0879008993721344</v>
      </c>
      <c r="N48" s="63">
        <f>$B48*M48/$X48</f>
        <v>-14.490431577329753</v>
      </c>
      <c r="O48" s="62">
        <f>'Расчет субсидий'!R48-1</f>
        <v>0</v>
      </c>
      <c r="P48" s="62">
        <f>O48*'Расчет субсидий'!S48</f>
        <v>0</v>
      </c>
      <c r="Q48" s="63">
        <f>$B48*P48/$X48</f>
        <v>0</v>
      </c>
      <c r="R48" s="62">
        <f>'Расчет субсидий'!V48-1</f>
        <v>0</v>
      </c>
      <c r="S48" s="62">
        <f>R48*'Расчет субсидий'!W48</f>
        <v>0</v>
      </c>
      <c r="T48" s="63">
        <f>$B48*S48/$X48</f>
        <v>0</v>
      </c>
      <c r="U48" s="62">
        <f>'Расчет субсидий'!Z48-1</f>
        <v>1.0000000000000009E-2</v>
      </c>
      <c r="V48" s="62">
        <f>U48*'Расчет субсидий'!AA48</f>
        <v>0.25000000000000022</v>
      </c>
      <c r="W48" s="63">
        <f>$B48*V48/$X48</f>
        <v>0.88617801250730954</v>
      </c>
      <c r="X48" s="62">
        <f t="shared" ref="X48:X111" si="12">D48+M48+P48+S48+V48</f>
        <v>-2.32099888824676</v>
      </c>
    </row>
    <row r="49" spans="1:24" ht="15" customHeight="1">
      <c r="A49" s="36" t="s">
        <v>49</v>
      </c>
      <c r="B49" s="60">
        <f>'Расчет субсидий'!AG49</f>
        <v>-12.845454545454544</v>
      </c>
      <c r="C49" s="62">
        <f>'Расчет субсидий'!D49-1</f>
        <v>0.17500000000000004</v>
      </c>
      <c r="D49" s="62">
        <f>C49*'Расчет субсидий'!E49</f>
        <v>1.7500000000000004</v>
      </c>
      <c r="E49" s="63">
        <f>$B49*D49/$X49</f>
        <v>3.3615711875595999</v>
      </c>
      <c r="F49" s="30" t="s">
        <v>376</v>
      </c>
      <c r="G49" s="30" t="s">
        <v>376</v>
      </c>
      <c r="H49" s="30" t="s">
        <v>376</v>
      </c>
      <c r="I49" s="30" t="s">
        <v>376</v>
      </c>
      <c r="J49" s="30" t="s">
        <v>376</v>
      </c>
      <c r="K49" s="30" t="s">
        <v>376</v>
      </c>
      <c r="L49" s="62">
        <f>'Расчет субсидий'!P49-1</f>
        <v>-0.69686069326357103</v>
      </c>
      <c r="M49" s="62">
        <f>L49*'Расчет субсидий'!Q49</f>
        <v>-13.937213865271421</v>
      </c>
      <c r="N49" s="63">
        <f>$B49*M49/$X49</f>
        <v>-26.7719637510586</v>
      </c>
      <c r="O49" s="62">
        <f>'Расчет субсидий'!R49-1</f>
        <v>0</v>
      </c>
      <c r="P49" s="62">
        <f>O49*'Расчет субсидий'!S49</f>
        <v>0</v>
      </c>
      <c r="Q49" s="63">
        <f>$B49*P49/$X49</f>
        <v>0</v>
      </c>
      <c r="R49" s="62">
        <f>'Расчет субсидий'!V49-1</f>
        <v>0.10000000000000009</v>
      </c>
      <c r="S49" s="62">
        <f>R49*'Расчет субсидий'!W49</f>
        <v>3.0000000000000027</v>
      </c>
      <c r="T49" s="63">
        <f>$B49*S49/$X49</f>
        <v>5.7626934643878887</v>
      </c>
      <c r="U49" s="62">
        <f>'Расчет субсидий'!Z49-1</f>
        <v>0.125</v>
      </c>
      <c r="V49" s="62">
        <f>U49*'Расчет субсидий'!AA49</f>
        <v>2.5</v>
      </c>
      <c r="W49" s="63">
        <f>$B49*V49/$X49</f>
        <v>4.8022445536565694</v>
      </c>
      <c r="X49" s="62">
        <f t="shared" si="12"/>
        <v>-6.687213865271417</v>
      </c>
    </row>
    <row r="50" spans="1:24" ht="15" customHeight="1">
      <c r="A50" s="36" t="s">
        <v>50</v>
      </c>
      <c r="B50" s="60">
        <f>'Расчет субсидий'!AG50</f>
        <v>-7.7181818181818187</v>
      </c>
      <c r="C50" s="62">
        <f>'Расчет субсидий'!D50-1</f>
        <v>-1</v>
      </c>
      <c r="D50" s="62">
        <f>C50*'Расчет субсидий'!E50</f>
        <v>0</v>
      </c>
      <c r="E50" s="63">
        <f>$B50*D50/$X50</f>
        <v>0</v>
      </c>
      <c r="F50" s="30" t="s">
        <v>376</v>
      </c>
      <c r="G50" s="30" t="s">
        <v>376</v>
      </c>
      <c r="H50" s="30" t="s">
        <v>376</v>
      </c>
      <c r="I50" s="30" t="s">
        <v>376</v>
      </c>
      <c r="J50" s="30" t="s">
        <v>376</v>
      </c>
      <c r="K50" s="30" t="s">
        <v>376</v>
      </c>
      <c r="L50" s="62">
        <f>'Расчет субсидий'!P50-1</f>
        <v>-0.58141554494138081</v>
      </c>
      <c r="M50" s="62">
        <f>L50*'Расчет субсидий'!Q50</f>
        <v>-11.628310898827616</v>
      </c>
      <c r="N50" s="63">
        <f>$B50*M50/$X50</f>
        <v>-13.732142903080229</v>
      </c>
      <c r="O50" s="62">
        <f>'Расчет субсидий'!R50-1</f>
        <v>0</v>
      </c>
      <c r="P50" s="62">
        <f>O50*'Расчет субсидий'!S50</f>
        <v>0</v>
      </c>
      <c r="Q50" s="63">
        <f>$B50*P50/$X50</f>
        <v>0</v>
      </c>
      <c r="R50" s="62">
        <f>'Расчет субсидий'!V50-1</f>
        <v>7.0370370370370416E-2</v>
      </c>
      <c r="S50" s="62">
        <f>R50*'Расчет субсидий'!W50</f>
        <v>1.7592592592592604</v>
      </c>
      <c r="T50" s="63">
        <f>$B50*S50/$X50</f>
        <v>2.0775501929649058</v>
      </c>
      <c r="U50" s="62">
        <f>'Расчет субсидий'!Z50-1</f>
        <v>0.1333333333333333</v>
      </c>
      <c r="V50" s="62">
        <f>U50*'Расчет субсидий'!AA50</f>
        <v>3.3333333333333326</v>
      </c>
      <c r="W50" s="63">
        <f>$B50*V50/$X50</f>
        <v>3.9364108919335021</v>
      </c>
      <c r="X50" s="62">
        <f t="shared" si="12"/>
        <v>-6.5357183062350224</v>
      </c>
    </row>
    <row r="51" spans="1:24" ht="15" customHeight="1">
      <c r="A51" s="36" t="s">
        <v>51</v>
      </c>
      <c r="B51" s="60">
        <f>'Расчет субсидий'!AG51</f>
        <v>-19.427272727272708</v>
      </c>
      <c r="C51" s="62">
        <f>'Расчет субсидий'!D51-1</f>
        <v>0</v>
      </c>
      <c r="D51" s="62">
        <f>C51*'Расчет субсидий'!E51</f>
        <v>0</v>
      </c>
      <c r="E51" s="63">
        <f>$B51*D51/$X51</f>
        <v>0</v>
      </c>
      <c r="F51" s="30" t="s">
        <v>376</v>
      </c>
      <c r="G51" s="30" t="s">
        <v>376</v>
      </c>
      <c r="H51" s="30" t="s">
        <v>376</v>
      </c>
      <c r="I51" s="30" t="s">
        <v>376</v>
      </c>
      <c r="J51" s="30" t="s">
        <v>376</v>
      </c>
      <c r="K51" s="30" t="s">
        <v>376</v>
      </c>
      <c r="L51" s="62">
        <f>'Расчет субсидий'!P51-1</f>
        <v>-0.68346312414109023</v>
      </c>
      <c r="M51" s="62">
        <f>L51*'Расчет субсидий'!Q51</f>
        <v>-13.669262482821804</v>
      </c>
      <c r="N51" s="63">
        <f>$B51*M51/$X51</f>
        <v>-32.931375348125194</v>
      </c>
      <c r="O51" s="62">
        <f>'Расчет субсидий'!R51-1</f>
        <v>0</v>
      </c>
      <c r="P51" s="62">
        <f>O51*'Расчет субсидий'!S51</f>
        <v>0</v>
      </c>
      <c r="Q51" s="63">
        <f>$B51*P51/$X51</f>
        <v>0</v>
      </c>
      <c r="R51" s="62">
        <f>'Расчет субсидий'!V51-1</f>
        <v>0.16779661016949166</v>
      </c>
      <c r="S51" s="62">
        <f>R51*'Расчет субсидий'!W51</f>
        <v>5.0338983050847492</v>
      </c>
      <c r="T51" s="63">
        <f>$B51*S51/$X51</f>
        <v>12.127442483262332</v>
      </c>
      <c r="U51" s="62">
        <f>'Расчет субсидий'!Z51-1</f>
        <v>2.8571428571428692E-2</v>
      </c>
      <c r="V51" s="62">
        <f>U51*'Расчет субсидий'!AA51</f>
        <v>0.57142857142857384</v>
      </c>
      <c r="W51" s="63">
        <f>$B51*V51/$X51</f>
        <v>1.3766601375901495</v>
      </c>
      <c r="X51" s="62">
        <f t="shared" si="12"/>
        <v>-8.0639356063084797</v>
      </c>
    </row>
    <row r="52" spans="1:24" ht="15" customHeight="1">
      <c r="A52" s="35" t="s">
        <v>52</v>
      </c>
      <c r="B52" s="64"/>
      <c r="C52" s="65"/>
      <c r="D52" s="65"/>
      <c r="E52" s="66"/>
      <c r="F52" s="65"/>
      <c r="G52" s="65"/>
      <c r="H52" s="66"/>
      <c r="I52" s="66"/>
      <c r="J52" s="66"/>
      <c r="K52" s="66"/>
      <c r="L52" s="65"/>
      <c r="M52" s="65"/>
      <c r="N52" s="66"/>
      <c r="O52" s="65"/>
      <c r="P52" s="65"/>
      <c r="Q52" s="66"/>
      <c r="R52" s="65"/>
      <c r="S52" s="65"/>
      <c r="T52" s="66"/>
      <c r="U52" s="65"/>
      <c r="V52" s="65"/>
      <c r="W52" s="66"/>
      <c r="X52" s="66"/>
    </row>
    <row r="53" spans="1:24" ht="15" customHeight="1">
      <c r="A53" s="36" t="s">
        <v>53</v>
      </c>
      <c r="B53" s="60">
        <f>'Расчет субсидий'!AG53</f>
        <v>15.127272727272725</v>
      </c>
      <c r="C53" s="62">
        <f>'Расчет субсидий'!D53-1</f>
        <v>-0.12111520594477998</v>
      </c>
      <c r="D53" s="62">
        <f>C53*'Расчет субсидий'!E53</f>
        <v>-1.2111520594477998</v>
      </c>
      <c r="E53" s="63">
        <f t="shared" ref="E53:E65" si="13">$B53*D53/$X53</f>
        <v>-3.5801676914871958</v>
      </c>
      <c r="F53" s="30" t="s">
        <v>376</v>
      </c>
      <c r="G53" s="30" t="s">
        <v>376</v>
      </c>
      <c r="H53" s="30" t="s">
        <v>376</v>
      </c>
      <c r="I53" s="30" t="s">
        <v>376</v>
      </c>
      <c r="J53" s="30" t="s">
        <v>376</v>
      </c>
      <c r="K53" s="30" t="s">
        <v>376</v>
      </c>
      <c r="L53" s="62">
        <f>'Расчет субсидий'!P53-1</f>
        <v>0.16643147671619496</v>
      </c>
      <c r="M53" s="62">
        <f>L53*'Расчет субсидий'!Q53</f>
        <v>3.3286295343238992</v>
      </c>
      <c r="N53" s="63">
        <f t="shared" ref="N53:N65" si="14">$B53*M53/$X53</f>
        <v>9.839434960090669</v>
      </c>
      <c r="O53" s="62">
        <f>'Расчет субсидий'!R53-1</f>
        <v>0</v>
      </c>
      <c r="P53" s="62">
        <f>O53*'Расчет субсидий'!S53</f>
        <v>0</v>
      </c>
      <c r="Q53" s="63">
        <f t="shared" ref="Q53:Q65" si="15">$B53*P53/$X53</f>
        <v>0</v>
      </c>
      <c r="R53" s="62">
        <f>'Расчет субсидий'!V53-1</f>
        <v>0.10000000000000009</v>
      </c>
      <c r="S53" s="62">
        <f>R53*'Расчет субсидий'!W53</f>
        <v>2.5000000000000022</v>
      </c>
      <c r="T53" s="63">
        <f t="shared" ref="T53:T65" si="16">$B53*S53/$X53</f>
        <v>7.390004548891044</v>
      </c>
      <c r="U53" s="62">
        <f>'Расчет субсидий'!Z53-1</f>
        <v>2.0000000000000018E-2</v>
      </c>
      <c r="V53" s="62">
        <f>U53*'Расчет субсидий'!AA53</f>
        <v>0.50000000000000044</v>
      </c>
      <c r="W53" s="63">
        <f t="shared" ref="W53:W65" si="17">$B53*V53/$X53</f>
        <v>1.4780009097782087</v>
      </c>
      <c r="X53" s="62">
        <f t="shared" si="12"/>
        <v>5.1174774748761021</v>
      </c>
    </row>
    <row r="54" spans="1:24" ht="15" customHeight="1">
      <c r="A54" s="36" t="s">
        <v>54</v>
      </c>
      <c r="B54" s="60">
        <f>'Расчет субсидий'!AG54</f>
        <v>-15.627272727272739</v>
      </c>
      <c r="C54" s="62">
        <f>'Расчет субсидий'!D54-1</f>
        <v>-1</v>
      </c>
      <c r="D54" s="62">
        <f>C54*'Расчет субсидий'!E54</f>
        <v>0</v>
      </c>
      <c r="E54" s="63">
        <f t="shared" si="13"/>
        <v>0</v>
      </c>
      <c r="F54" s="30" t="s">
        <v>376</v>
      </c>
      <c r="G54" s="30" t="s">
        <v>376</v>
      </c>
      <c r="H54" s="30" t="s">
        <v>376</v>
      </c>
      <c r="I54" s="30" t="s">
        <v>376</v>
      </c>
      <c r="J54" s="30" t="s">
        <v>376</v>
      </c>
      <c r="K54" s="30" t="s">
        <v>376</v>
      </c>
      <c r="L54" s="62">
        <f>'Расчет субсидий'!P54-1</f>
        <v>-0.82084468664850141</v>
      </c>
      <c r="M54" s="62">
        <f>L54*'Расчет субсидий'!Q54</f>
        <v>-16.416893732970028</v>
      </c>
      <c r="N54" s="63">
        <f t="shared" si="14"/>
        <v>-15.627272727272738</v>
      </c>
      <c r="O54" s="62">
        <f>'Расчет субсидий'!R54-1</f>
        <v>0</v>
      </c>
      <c r="P54" s="62">
        <f>O54*'Расчет субсидий'!S54</f>
        <v>0</v>
      </c>
      <c r="Q54" s="63">
        <f t="shared" si="15"/>
        <v>0</v>
      </c>
      <c r="R54" s="62">
        <f>'Расчет субсидий'!V54-1</f>
        <v>0</v>
      </c>
      <c r="S54" s="62">
        <f>R54*'Расчет субсидий'!W54</f>
        <v>0</v>
      </c>
      <c r="T54" s="63">
        <f t="shared" si="16"/>
        <v>0</v>
      </c>
      <c r="U54" s="62">
        <f>'Расчет субсидий'!Z54-1</f>
        <v>0</v>
      </c>
      <c r="V54" s="62">
        <f>U54*'Расчет субсидий'!AA54</f>
        <v>0</v>
      </c>
      <c r="W54" s="63">
        <f t="shared" si="17"/>
        <v>0</v>
      </c>
      <c r="X54" s="62">
        <f t="shared" si="12"/>
        <v>-16.416893732970028</v>
      </c>
    </row>
    <row r="55" spans="1:24" ht="15" customHeight="1">
      <c r="A55" s="36" t="s">
        <v>55</v>
      </c>
      <c r="B55" s="60">
        <f>'Расчет субсидий'!AG55</f>
        <v>-31.781818181818181</v>
      </c>
      <c r="C55" s="62">
        <f>'Расчет субсидий'!D55-1</f>
        <v>-1</v>
      </c>
      <c r="D55" s="62">
        <f>C55*'Расчет субсидий'!E55</f>
        <v>0</v>
      </c>
      <c r="E55" s="63">
        <f t="shared" si="13"/>
        <v>0</v>
      </c>
      <c r="F55" s="30" t="s">
        <v>376</v>
      </c>
      <c r="G55" s="30" t="s">
        <v>376</v>
      </c>
      <c r="H55" s="30" t="s">
        <v>376</v>
      </c>
      <c r="I55" s="30" t="s">
        <v>376</v>
      </c>
      <c r="J55" s="30" t="s">
        <v>376</v>
      </c>
      <c r="K55" s="30" t="s">
        <v>376</v>
      </c>
      <c r="L55" s="62">
        <f>'Расчет субсидий'!P55-1</f>
        <v>-0.66217870257037936</v>
      </c>
      <c r="M55" s="62">
        <f>L55*'Расчет субсидий'!Q55</f>
        <v>-13.243574051407588</v>
      </c>
      <c r="N55" s="63">
        <f t="shared" si="14"/>
        <v>-33.825077975219621</v>
      </c>
      <c r="O55" s="62">
        <f>'Расчет субсидий'!R55-1</f>
        <v>0</v>
      </c>
      <c r="P55" s="62">
        <f>O55*'Расчет субсидий'!S55</f>
        <v>0</v>
      </c>
      <c r="Q55" s="63">
        <f t="shared" si="15"/>
        <v>0</v>
      </c>
      <c r="R55" s="62">
        <f>'Расчет субсидий'!V55-1</f>
        <v>0</v>
      </c>
      <c r="S55" s="62">
        <f>R55*'Расчет субсидий'!W55</f>
        <v>0</v>
      </c>
      <c r="T55" s="63">
        <f t="shared" si="16"/>
        <v>0</v>
      </c>
      <c r="U55" s="62">
        <f>'Расчет субсидий'!Z55-1</f>
        <v>4.0000000000000036E-2</v>
      </c>
      <c r="V55" s="62">
        <f>U55*'Расчет субсидий'!AA55</f>
        <v>0.80000000000000071</v>
      </c>
      <c r="W55" s="63">
        <f t="shared" si="17"/>
        <v>2.0432597934014383</v>
      </c>
      <c r="X55" s="62">
        <f t="shared" si="12"/>
        <v>-12.443574051407587</v>
      </c>
    </row>
    <row r="56" spans="1:24" ht="15" customHeight="1">
      <c r="A56" s="36" t="s">
        <v>56</v>
      </c>
      <c r="B56" s="60">
        <f>'Расчет субсидий'!AG56</f>
        <v>-33.745454545454535</v>
      </c>
      <c r="C56" s="62">
        <f>'Расчет субсидий'!D56-1</f>
        <v>-1</v>
      </c>
      <c r="D56" s="62">
        <f>C56*'Расчет субсидий'!E56</f>
        <v>0</v>
      </c>
      <c r="E56" s="63">
        <f t="shared" si="13"/>
        <v>0</v>
      </c>
      <c r="F56" s="30" t="s">
        <v>376</v>
      </c>
      <c r="G56" s="30" t="s">
        <v>376</v>
      </c>
      <c r="H56" s="30" t="s">
        <v>376</v>
      </c>
      <c r="I56" s="30" t="s">
        <v>376</v>
      </c>
      <c r="J56" s="30" t="s">
        <v>376</v>
      </c>
      <c r="K56" s="30" t="s">
        <v>376</v>
      </c>
      <c r="L56" s="62">
        <f>'Расчет субсидий'!P56-1</f>
        <v>-0.761055634807418</v>
      </c>
      <c r="M56" s="62">
        <f>L56*'Расчет субсидий'!Q56</f>
        <v>-15.22111269614836</v>
      </c>
      <c r="N56" s="63">
        <f t="shared" si="14"/>
        <v>-27.829451244456493</v>
      </c>
      <c r="O56" s="62">
        <f>'Расчет субсидий'!R56-1</f>
        <v>0</v>
      </c>
      <c r="P56" s="62">
        <f>O56*'Расчет субсидий'!S56</f>
        <v>0</v>
      </c>
      <c r="Q56" s="63">
        <f t="shared" si="15"/>
        <v>0</v>
      </c>
      <c r="R56" s="62">
        <f>'Расчет субсидий'!V56-1</f>
        <v>-0.15800000000000003</v>
      </c>
      <c r="S56" s="62">
        <f>R56*'Расчет субсидий'!W56</f>
        <v>-3.9500000000000006</v>
      </c>
      <c r="T56" s="63">
        <f t="shared" si="16"/>
        <v>-7.2219642945958586</v>
      </c>
      <c r="U56" s="62">
        <f>'Расчет субсидий'!Z56-1</f>
        <v>2.8571428571428692E-2</v>
      </c>
      <c r="V56" s="62">
        <f>U56*'Расчет субсидий'!AA56</f>
        <v>0.7142857142857173</v>
      </c>
      <c r="W56" s="63">
        <f t="shared" si="17"/>
        <v>1.3059609935978096</v>
      </c>
      <c r="X56" s="62">
        <f t="shared" si="12"/>
        <v>-18.45682698186264</v>
      </c>
    </row>
    <row r="57" spans="1:24" ht="15" customHeight="1">
      <c r="A57" s="36" t="s">
        <v>57</v>
      </c>
      <c r="B57" s="60">
        <f>'Расчет субсидий'!AG57</f>
        <v>-7.1181818181818102</v>
      </c>
      <c r="C57" s="62">
        <f>'Расчет субсидий'!D57-1</f>
        <v>-1</v>
      </c>
      <c r="D57" s="62">
        <f>C57*'Расчет субсидий'!E57</f>
        <v>0</v>
      </c>
      <c r="E57" s="63">
        <f t="shared" si="13"/>
        <v>0</v>
      </c>
      <c r="F57" s="30" t="s">
        <v>376</v>
      </c>
      <c r="G57" s="30" t="s">
        <v>376</v>
      </c>
      <c r="H57" s="30" t="s">
        <v>376</v>
      </c>
      <c r="I57" s="30" t="s">
        <v>376</v>
      </c>
      <c r="J57" s="30" t="s">
        <v>376</v>
      </c>
      <c r="K57" s="30" t="s">
        <v>376</v>
      </c>
      <c r="L57" s="62">
        <f>'Расчет субсидий'!P57-1</f>
        <v>-0.65623043206011267</v>
      </c>
      <c r="M57" s="62">
        <f>L57*'Расчет субсидий'!Q57</f>
        <v>-13.124608641202254</v>
      </c>
      <c r="N57" s="63">
        <f t="shared" si="14"/>
        <v>-14.462579746838752</v>
      </c>
      <c r="O57" s="62">
        <f>'Расчет субсидий'!R57-1</f>
        <v>0</v>
      </c>
      <c r="P57" s="62">
        <f>O57*'Расчет субсидий'!S57</f>
        <v>0</v>
      </c>
      <c r="Q57" s="63">
        <f t="shared" si="15"/>
        <v>0</v>
      </c>
      <c r="R57" s="62">
        <f>'Расчет субсидий'!V57-1</f>
        <v>0.20549828178694152</v>
      </c>
      <c r="S57" s="62">
        <f>R57*'Расчет субсидий'!W57</f>
        <v>6.1649484536082451</v>
      </c>
      <c r="T57" s="63">
        <f t="shared" si="16"/>
        <v>6.7934260809541414</v>
      </c>
      <c r="U57" s="62">
        <f>'Расчет субсидий'!Z57-1</f>
        <v>2.4999999999999911E-2</v>
      </c>
      <c r="V57" s="62">
        <f>U57*'Расчет субсидий'!AA57</f>
        <v>0.49999999999999822</v>
      </c>
      <c r="W57" s="63">
        <f t="shared" si="17"/>
        <v>0.55097184770280072</v>
      </c>
      <c r="X57" s="62">
        <f t="shared" si="12"/>
        <v>-6.4596601875940109</v>
      </c>
    </row>
    <row r="58" spans="1:24" ht="15" customHeight="1">
      <c r="A58" s="36" t="s">
        <v>58</v>
      </c>
      <c r="B58" s="60">
        <f>'Расчет субсидий'!AG58</f>
        <v>-4.9818181818181806</v>
      </c>
      <c r="C58" s="62">
        <f>'Расчет субсидий'!D58-1</f>
        <v>-1</v>
      </c>
      <c r="D58" s="62">
        <f>C58*'Расчет субсидий'!E58</f>
        <v>0</v>
      </c>
      <c r="E58" s="63">
        <f t="shared" si="13"/>
        <v>0</v>
      </c>
      <c r="F58" s="30" t="s">
        <v>376</v>
      </c>
      <c r="G58" s="30" t="s">
        <v>376</v>
      </c>
      <c r="H58" s="30" t="s">
        <v>376</v>
      </c>
      <c r="I58" s="30" t="s">
        <v>376</v>
      </c>
      <c r="J58" s="30" t="s">
        <v>376</v>
      </c>
      <c r="K58" s="30" t="s">
        <v>376</v>
      </c>
      <c r="L58" s="62">
        <f>'Расчет субсидий'!P58-1</f>
        <v>-0.65132743362831858</v>
      </c>
      <c r="M58" s="62">
        <f>L58*'Расчет субсидий'!Q58</f>
        <v>-13.026548672566371</v>
      </c>
      <c r="N58" s="63">
        <f t="shared" si="14"/>
        <v>-4.9818181818181806</v>
      </c>
      <c r="O58" s="62">
        <f>'Расчет субсидий'!R58-1</f>
        <v>0</v>
      </c>
      <c r="P58" s="62">
        <f>O58*'Расчет субсидий'!S58</f>
        <v>0</v>
      </c>
      <c r="Q58" s="63">
        <f t="shared" si="15"/>
        <v>0</v>
      </c>
      <c r="R58" s="62">
        <f>'Расчет субсидий'!V58-1</f>
        <v>0</v>
      </c>
      <c r="S58" s="62">
        <f>R58*'Расчет субсидий'!W58</f>
        <v>0</v>
      </c>
      <c r="T58" s="63">
        <f t="shared" si="16"/>
        <v>0</v>
      </c>
      <c r="U58" s="62">
        <f>'Расчет субсидий'!Z58-1</f>
        <v>0</v>
      </c>
      <c r="V58" s="62">
        <f>U58*'Расчет субсидий'!AA58</f>
        <v>0</v>
      </c>
      <c r="W58" s="63">
        <f t="shared" si="17"/>
        <v>0</v>
      </c>
      <c r="X58" s="62">
        <f t="shared" si="12"/>
        <v>-13.026548672566371</v>
      </c>
    </row>
    <row r="59" spans="1:24" ht="15" customHeight="1">
      <c r="A59" s="36" t="s">
        <v>59</v>
      </c>
      <c r="B59" s="60">
        <f>'Расчет субсидий'!AG59</f>
        <v>-38.645454545454541</v>
      </c>
      <c r="C59" s="62">
        <f>'Расчет субсидий'!D59-1</f>
        <v>-1</v>
      </c>
      <c r="D59" s="62">
        <f>C59*'Расчет субсидий'!E59</f>
        <v>0</v>
      </c>
      <c r="E59" s="63">
        <f t="shared" si="13"/>
        <v>0</v>
      </c>
      <c r="F59" s="30" t="s">
        <v>376</v>
      </c>
      <c r="G59" s="30" t="s">
        <v>376</v>
      </c>
      <c r="H59" s="30" t="s">
        <v>376</v>
      </c>
      <c r="I59" s="30" t="s">
        <v>376</v>
      </c>
      <c r="J59" s="30" t="s">
        <v>376</v>
      </c>
      <c r="K59" s="30" t="s">
        <v>376</v>
      </c>
      <c r="L59" s="62">
        <f>'Расчет субсидий'!P59-1</f>
        <v>-0.93520942408376961</v>
      </c>
      <c r="M59" s="62">
        <f>L59*'Расчет субсидий'!Q59</f>
        <v>-18.704188481675391</v>
      </c>
      <c r="N59" s="63">
        <f t="shared" si="14"/>
        <v>-26.498986044284567</v>
      </c>
      <c r="O59" s="62">
        <f>'Расчет субсидий'!R59-1</f>
        <v>0</v>
      </c>
      <c r="P59" s="62">
        <f>O59*'Расчет субсидий'!S59</f>
        <v>0</v>
      </c>
      <c r="Q59" s="63">
        <f t="shared" si="15"/>
        <v>0</v>
      </c>
      <c r="R59" s="62">
        <f>'Расчет субсидий'!V59-1</f>
        <v>-0.32500000000000007</v>
      </c>
      <c r="S59" s="62">
        <f>R59*'Расчет субсидий'!W59</f>
        <v>-9.7500000000000018</v>
      </c>
      <c r="T59" s="63">
        <f t="shared" si="16"/>
        <v>-13.813222326373394</v>
      </c>
      <c r="U59" s="62">
        <f>'Расчет субсидий'!Z59-1</f>
        <v>5.8823529411764719E-2</v>
      </c>
      <c r="V59" s="62">
        <f>U59*'Расчет субсидий'!AA59</f>
        <v>1.1764705882352944</v>
      </c>
      <c r="W59" s="63">
        <f t="shared" si="17"/>
        <v>1.6667538252034262</v>
      </c>
      <c r="X59" s="62">
        <f t="shared" si="12"/>
        <v>-27.277717893440101</v>
      </c>
    </row>
    <row r="60" spans="1:24" ht="15" customHeight="1">
      <c r="A60" s="36" t="s">
        <v>60</v>
      </c>
      <c r="B60" s="60">
        <f>'Расчет субсидий'!AG60</f>
        <v>-13.836363636363643</v>
      </c>
      <c r="C60" s="62">
        <f>'Расчет субсидий'!D60-1</f>
        <v>-1</v>
      </c>
      <c r="D60" s="62">
        <f>C60*'Расчет субсидий'!E60</f>
        <v>0</v>
      </c>
      <c r="E60" s="63">
        <f t="shared" si="13"/>
        <v>0</v>
      </c>
      <c r="F60" s="30" t="s">
        <v>376</v>
      </c>
      <c r="G60" s="30" t="s">
        <v>376</v>
      </c>
      <c r="H60" s="30" t="s">
        <v>376</v>
      </c>
      <c r="I60" s="30" t="s">
        <v>376</v>
      </c>
      <c r="J60" s="30" t="s">
        <v>376</v>
      </c>
      <c r="K60" s="30" t="s">
        <v>376</v>
      </c>
      <c r="L60" s="62">
        <f>'Расчет субсидий'!P60-1</f>
        <v>-0.78068264342774141</v>
      </c>
      <c r="M60" s="62">
        <f>L60*'Расчет субсидий'!Q60</f>
        <v>-15.613652868554828</v>
      </c>
      <c r="N60" s="63">
        <f t="shared" si="14"/>
        <v>-16.22666453107901</v>
      </c>
      <c r="O60" s="62">
        <f>'Расчет субсидий'!R60-1</f>
        <v>0</v>
      </c>
      <c r="P60" s="62">
        <f>O60*'Расчет субсидий'!S60</f>
        <v>0</v>
      </c>
      <c r="Q60" s="63">
        <f t="shared" si="15"/>
        <v>0</v>
      </c>
      <c r="R60" s="62">
        <f>'Расчет субсидий'!V60-1</f>
        <v>1.0000000000000009E-2</v>
      </c>
      <c r="S60" s="62">
        <f>R60*'Расчет субсидий'!W60</f>
        <v>0.30000000000000027</v>
      </c>
      <c r="T60" s="63">
        <f t="shared" si="16"/>
        <v>0.31177837757156956</v>
      </c>
      <c r="U60" s="62">
        <f>'Расчет субсидий'!Z60-1</f>
        <v>0.10000000000000009</v>
      </c>
      <c r="V60" s="62">
        <f>U60*'Расчет субсидий'!AA60</f>
        <v>2.0000000000000018</v>
      </c>
      <c r="W60" s="63">
        <f t="shared" si="17"/>
        <v>2.0785225171437971</v>
      </c>
      <c r="X60" s="62">
        <f t="shared" si="12"/>
        <v>-13.313652868554826</v>
      </c>
    </row>
    <row r="61" spans="1:24" ht="15" customHeight="1">
      <c r="A61" s="36" t="s">
        <v>61</v>
      </c>
      <c r="B61" s="60">
        <f>'Расчет субсидий'!AG61</f>
        <v>40.372727272727275</v>
      </c>
      <c r="C61" s="62">
        <f>'Расчет субсидий'!D61-1</f>
        <v>-0.10660256410256408</v>
      </c>
      <c r="D61" s="62">
        <f>C61*'Расчет субсидий'!E61</f>
        <v>-1.0660256410256408</v>
      </c>
      <c r="E61" s="63">
        <f t="shared" si="13"/>
        <v>-2.0576328539956745</v>
      </c>
      <c r="F61" s="30" t="s">
        <v>376</v>
      </c>
      <c r="G61" s="30" t="s">
        <v>376</v>
      </c>
      <c r="H61" s="30" t="s">
        <v>376</v>
      </c>
      <c r="I61" s="30" t="s">
        <v>376</v>
      </c>
      <c r="J61" s="30" t="s">
        <v>376</v>
      </c>
      <c r="K61" s="30" t="s">
        <v>376</v>
      </c>
      <c r="L61" s="62">
        <f>'Расчет субсидий'!P61-1</f>
        <v>0.38305205609698123</v>
      </c>
      <c r="M61" s="62">
        <f>L61*'Расчет субсидий'!Q61</f>
        <v>7.6610411219396246</v>
      </c>
      <c r="N61" s="63">
        <f t="shared" si="14"/>
        <v>14.78727087009692</v>
      </c>
      <c r="O61" s="62">
        <f>'Расчет субсидий'!R61-1</f>
        <v>0</v>
      </c>
      <c r="P61" s="62">
        <f>O61*'Расчет субсидий'!S61</f>
        <v>0</v>
      </c>
      <c r="Q61" s="63">
        <f t="shared" si="15"/>
        <v>0</v>
      </c>
      <c r="R61" s="62">
        <f>'Расчет субсидий'!V61-1</f>
        <v>0.45833333333333326</v>
      </c>
      <c r="S61" s="62">
        <f>R61*'Расчет субсидий'!W61</f>
        <v>13.749999999999998</v>
      </c>
      <c r="T61" s="63">
        <f t="shared" si="16"/>
        <v>26.540123101748183</v>
      </c>
      <c r="U61" s="62">
        <f>'Расчет субсидий'!Z61-1</f>
        <v>2.8571428571428692E-2</v>
      </c>
      <c r="V61" s="62">
        <f>U61*'Расчет субсидий'!AA61</f>
        <v>0.57142857142857384</v>
      </c>
      <c r="W61" s="63">
        <f t="shared" si="17"/>
        <v>1.1029661548778511</v>
      </c>
      <c r="X61" s="62">
        <f t="shared" si="12"/>
        <v>20.916444052342555</v>
      </c>
    </row>
    <row r="62" spans="1:24" ht="15" customHeight="1">
      <c r="A62" s="36" t="s">
        <v>62</v>
      </c>
      <c r="B62" s="60">
        <f>'Расчет субсидий'!AG62</f>
        <v>-13.727272727272734</v>
      </c>
      <c r="C62" s="62">
        <f>'Расчет субсидий'!D62-1</f>
        <v>-1</v>
      </c>
      <c r="D62" s="62">
        <f>C62*'Расчет субсидий'!E62</f>
        <v>0</v>
      </c>
      <c r="E62" s="63">
        <f t="shared" si="13"/>
        <v>0</v>
      </c>
      <c r="F62" s="30" t="s">
        <v>376</v>
      </c>
      <c r="G62" s="30" t="s">
        <v>376</v>
      </c>
      <c r="H62" s="30" t="s">
        <v>376</v>
      </c>
      <c r="I62" s="30" t="s">
        <v>376</v>
      </c>
      <c r="J62" s="30" t="s">
        <v>376</v>
      </c>
      <c r="K62" s="30" t="s">
        <v>376</v>
      </c>
      <c r="L62" s="62">
        <f>'Расчет субсидий'!P62-1</f>
        <v>-0.55192409066947812</v>
      </c>
      <c r="M62" s="62">
        <f>L62*'Расчет субсидий'!Q62</f>
        <v>-11.038481813389563</v>
      </c>
      <c r="N62" s="63">
        <f t="shared" si="14"/>
        <v>-13.17810931970075</v>
      </c>
      <c r="O62" s="62">
        <f>'Расчет субсидий'!R62-1</f>
        <v>0</v>
      </c>
      <c r="P62" s="62">
        <f>O62*'Расчет субсидий'!S62</f>
        <v>0</v>
      </c>
      <c r="Q62" s="63">
        <f t="shared" si="15"/>
        <v>0</v>
      </c>
      <c r="R62" s="62">
        <f>'Расчет субсидий'!V62-1</f>
        <v>-3.2000000000000028E-2</v>
      </c>
      <c r="S62" s="62">
        <f>R62*'Расчет субсидий'!W62</f>
        <v>-0.96000000000000085</v>
      </c>
      <c r="T62" s="63">
        <f t="shared" si="16"/>
        <v>-1.1460801549328294</v>
      </c>
      <c r="U62" s="62">
        <f>'Расчет субсидий'!Z62-1</f>
        <v>2.4999999999999911E-2</v>
      </c>
      <c r="V62" s="62">
        <f>U62*'Расчет субсидий'!AA62</f>
        <v>0.49999999999999822</v>
      </c>
      <c r="W62" s="63">
        <f t="shared" si="17"/>
        <v>0.5969167473608461</v>
      </c>
      <c r="X62" s="62">
        <f t="shared" si="12"/>
        <v>-11.498481813389565</v>
      </c>
    </row>
    <row r="63" spans="1:24" ht="15" customHeight="1">
      <c r="A63" s="36" t="s">
        <v>63</v>
      </c>
      <c r="B63" s="60">
        <f>'Расчет субсидий'!AG63</f>
        <v>0.63636363636364024</v>
      </c>
      <c r="C63" s="62">
        <f>'Расчет субсидий'!D63-1</f>
        <v>-1</v>
      </c>
      <c r="D63" s="62">
        <f>C63*'Расчет субсидий'!E63</f>
        <v>0</v>
      </c>
      <c r="E63" s="63">
        <f t="shared" si="13"/>
        <v>0</v>
      </c>
      <c r="F63" s="30" t="s">
        <v>376</v>
      </c>
      <c r="G63" s="30" t="s">
        <v>376</v>
      </c>
      <c r="H63" s="30" t="s">
        <v>376</v>
      </c>
      <c r="I63" s="30" t="s">
        <v>376</v>
      </c>
      <c r="J63" s="30" t="s">
        <v>376</v>
      </c>
      <c r="K63" s="30" t="s">
        <v>376</v>
      </c>
      <c r="L63" s="62">
        <f>'Расчет субсидий'!P63-1</f>
        <v>-1.8518518518518601E-2</v>
      </c>
      <c r="M63" s="62">
        <f>L63*'Расчет субсидий'!Q63</f>
        <v>-0.37037037037037202</v>
      </c>
      <c r="N63" s="63">
        <f t="shared" si="14"/>
        <v>-0.3439803439803481</v>
      </c>
      <c r="O63" s="62">
        <f>'Расчет субсидий'!R63-1</f>
        <v>0</v>
      </c>
      <c r="P63" s="62">
        <f>O63*'Расчет субсидий'!S63</f>
        <v>0</v>
      </c>
      <c r="Q63" s="63">
        <f t="shared" si="15"/>
        <v>0</v>
      </c>
      <c r="R63" s="62">
        <f>'Расчет субсидий'!V63-1</f>
        <v>1.6666666666666607E-2</v>
      </c>
      <c r="S63" s="62">
        <f>R63*'Расчет субсидий'!W63</f>
        <v>0.49999999999999822</v>
      </c>
      <c r="T63" s="63">
        <f t="shared" si="16"/>
        <v>0.46437346437346622</v>
      </c>
      <c r="U63" s="62">
        <f>'Расчет субсидий'!Z63-1</f>
        <v>2.7777777777777901E-2</v>
      </c>
      <c r="V63" s="62">
        <f>U63*'Расчет субсидий'!AA63</f>
        <v>0.55555555555555802</v>
      </c>
      <c r="W63" s="63">
        <f t="shared" si="17"/>
        <v>0.51597051597052213</v>
      </c>
      <c r="X63" s="62">
        <f t="shared" si="12"/>
        <v>0.68518518518518423</v>
      </c>
    </row>
    <row r="64" spans="1:24" ht="15" customHeight="1">
      <c r="A64" s="36" t="s">
        <v>64</v>
      </c>
      <c r="B64" s="60">
        <f>'Расчет субсидий'!AG64</f>
        <v>-21.390909090909091</v>
      </c>
      <c r="C64" s="62">
        <f>'Расчет субсидий'!D64-1</f>
        <v>-1</v>
      </c>
      <c r="D64" s="62">
        <f>C64*'Расчет субсидий'!E64</f>
        <v>0</v>
      </c>
      <c r="E64" s="63">
        <f t="shared" si="13"/>
        <v>0</v>
      </c>
      <c r="F64" s="30" t="s">
        <v>376</v>
      </c>
      <c r="G64" s="30" t="s">
        <v>376</v>
      </c>
      <c r="H64" s="30" t="s">
        <v>376</v>
      </c>
      <c r="I64" s="30" t="s">
        <v>376</v>
      </c>
      <c r="J64" s="30" t="s">
        <v>376</v>
      </c>
      <c r="K64" s="30" t="s">
        <v>376</v>
      </c>
      <c r="L64" s="62">
        <f>'Расчет субсидий'!P64-1</f>
        <v>-0.93152639087018541</v>
      </c>
      <c r="M64" s="62">
        <f>L64*'Расчет субсидий'!Q64</f>
        <v>-18.63052781740371</v>
      </c>
      <c r="N64" s="63">
        <f t="shared" si="14"/>
        <v>-23.263960755071217</v>
      </c>
      <c r="O64" s="62">
        <f>'Расчет субсидий'!R64-1</f>
        <v>0</v>
      </c>
      <c r="P64" s="62">
        <f>O64*'Расчет субсидий'!S64</f>
        <v>0</v>
      </c>
      <c r="Q64" s="63">
        <f t="shared" si="15"/>
        <v>0</v>
      </c>
      <c r="R64" s="62">
        <f>'Расчет субсидий'!V64-1</f>
        <v>0</v>
      </c>
      <c r="S64" s="62">
        <f>R64*'Расчет субсидий'!W64</f>
        <v>0</v>
      </c>
      <c r="T64" s="63">
        <f t="shared" si="16"/>
        <v>0</v>
      </c>
      <c r="U64" s="62">
        <f>'Расчет субсидий'!Z64-1</f>
        <v>0.10000000000000009</v>
      </c>
      <c r="V64" s="62">
        <f>U64*'Расчет субсидий'!AA64</f>
        <v>1.5000000000000013</v>
      </c>
      <c r="W64" s="63">
        <f t="shared" si="17"/>
        <v>1.8730516641621291</v>
      </c>
      <c r="X64" s="62">
        <f t="shared" si="12"/>
        <v>-17.13052781740371</v>
      </c>
    </row>
    <row r="65" spans="1:24" ht="15" customHeight="1">
      <c r="A65" s="36" t="s">
        <v>65</v>
      </c>
      <c r="B65" s="60">
        <f>'Расчет субсидий'!AG65</f>
        <v>-1.5272727272727273</v>
      </c>
      <c r="C65" s="62">
        <f>'Расчет субсидий'!D65-1</f>
        <v>-0.23221216041397152</v>
      </c>
      <c r="D65" s="62">
        <f>C65*'Расчет субсидий'!E65</f>
        <v>-2.3221216041397152</v>
      </c>
      <c r="E65" s="63">
        <f t="shared" si="13"/>
        <v>-0.45793072656121792</v>
      </c>
      <c r="F65" s="30" t="s">
        <v>376</v>
      </c>
      <c r="G65" s="30" t="s">
        <v>376</v>
      </c>
      <c r="H65" s="30" t="s">
        <v>376</v>
      </c>
      <c r="I65" s="30" t="s">
        <v>376</v>
      </c>
      <c r="J65" s="30" t="s">
        <v>376</v>
      </c>
      <c r="K65" s="30" t="s">
        <v>376</v>
      </c>
      <c r="L65" s="62">
        <f>'Расчет субсидий'!P65-1</f>
        <v>-0.77782282586661267</v>
      </c>
      <c r="M65" s="62">
        <f>L65*'Расчет субсидий'!Q65</f>
        <v>-15.556456517332254</v>
      </c>
      <c r="N65" s="63">
        <f t="shared" si="14"/>
        <v>-3.0677891386050495</v>
      </c>
      <c r="O65" s="62">
        <f>'Расчет субсидий'!R65-1</f>
        <v>0</v>
      </c>
      <c r="P65" s="62">
        <f>O65*'Расчет субсидий'!S65</f>
        <v>0</v>
      </c>
      <c r="Q65" s="63">
        <f t="shared" si="15"/>
        <v>0</v>
      </c>
      <c r="R65" s="62">
        <f>'Расчет субсидий'!V65-1</f>
        <v>0.24285714285714266</v>
      </c>
      <c r="S65" s="62">
        <f>R65*'Расчет субсидий'!W65</f>
        <v>6.0714285714285667</v>
      </c>
      <c r="T65" s="63">
        <f t="shared" si="16"/>
        <v>1.1973075363591246</v>
      </c>
      <c r="U65" s="62">
        <f>'Расчет субсидий'!Z65-1</f>
        <v>0.16250000000000009</v>
      </c>
      <c r="V65" s="62">
        <f>U65*'Расчет субсидий'!AA65</f>
        <v>4.0625000000000018</v>
      </c>
      <c r="W65" s="63">
        <f t="shared" si="17"/>
        <v>0.80113960153441521</v>
      </c>
      <c r="X65" s="62">
        <f t="shared" si="12"/>
        <v>-7.7446495500434001</v>
      </c>
    </row>
    <row r="66" spans="1:24" ht="15" customHeight="1">
      <c r="A66" s="35" t="s">
        <v>66</v>
      </c>
      <c r="B66" s="64"/>
      <c r="C66" s="65"/>
      <c r="D66" s="65"/>
      <c r="E66" s="66"/>
      <c r="F66" s="65"/>
      <c r="G66" s="65"/>
      <c r="H66" s="66"/>
      <c r="I66" s="66"/>
      <c r="J66" s="66"/>
      <c r="K66" s="66"/>
      <c r="L66" s="65"/>
      <c r="M66" s="65"/>
      <c r="N66" s="66"/>
      <c r="O66" s="65"/>
      <c r="P66" s="65"/>
      <c r="Q66" s="66"/>
      <c r="R66" s="65"/>
      <c r="S66" s="65"/>
      <c r="T66" s="66"/>
      <c r="U66" s="65"/>
      <c r="V66" s="65"/>
      <c r="W66" s="66"/>
      <c r="X66" s="66"/>
    </row>
    <row r="67" spans="1:24" ht="15" customHeight="1">
      <c r="A67" s="36" t="s">
        <v>67</v>
      </c>
      <c r="B67" s="60">
        <f>'Расчет субсидий'!AG67</f>
        <v>1.3727272727272606</v>
      </c>
      <c r="C67" s="62">
        <f>'Расчет субсидий'!D67-1</f>
        <v>1.1666666666666665</v>
      </c>
      <c r="D67" s="62">
        <f>C67*'Расчет субсидий'!E67</f>
        <v>11.666666666666664</v>
      </c>
      <c r="E67" s="63">
        <f>$B67*D67/$X67</f>
        <v>10.222335620147176</v>
      </c>
      <c r="F67" s="30" t="s">
        <v>376</v>
      </c>
      <c r="G67" s="30" t="s">
        <v>376</v>
      </c>
      <c r="H67" s="30" t="s">
        <v>376</v>
      </c>
      <c r="I67" s="30" t="s">
        <v>376</v>
      </c>
      <c r="J67" s="30" t="s">
        <v>376</v>
      </c>
      <c r="K67" s="30" t="s">
        <v>376</v>
      </c>
      <c r="L67" s="62">
        <f>'Расчет субсидий'!P67-1</f>
        <v>-0.32656731757451174</v>
      </c>
      <c r="M67" s="62">
        <f>L67*'Расчет субсидий'!Q67</f>
        <v>-6.5313463514902352</v>
      </c>
      <c r="N67" s="63">
        <f>$B67*M67/$X67</f>
        <v>-5.7227669534020231</v>
      </c>
      <c r="O67" s="62">
        <f>'Расчет субсидий'!R67-1</f>
        <v>0</v>
      </c>
      <c r="P67" s="62">
        <f>O67*'Расчет субсидий'!S67</f>
        <v>0</v>
      </c>
      <c r="Q67" s="63">
        <f>$B67*P67/$X67</f>
        <v>0</v>
      </c>
      <c r="R67" s="62">
        <f>'Расчет субсидий'!V67-1</f>
        <v>0.26701030927835046</v>
      </c>
      <c r="S67" s="62">
        <f>R67*'Расчет субсидий'!W67</f>
        <v>8.0103092783505137</v>
      </c>
      <c r="T67" s="63">
        <f>$B67*S67/$X67</f>
        <v>7.0186345598123898</v>
      </c>
      <c r="U67" s="62">
        <f>'Расчет субсидий'!Z67-1</f>
        <v>-0.57894736842105265</v>
      </c>
      <c r="V67" s="62">
        <f>U67*'Расчет субсидий'!AA67</f>
        <v>-11.578947368421053</v>
      </c>
      <c r="W67" s="63">
        <f>$B67*V67/$X67</f>
        <v>-10.145475953830282</v>
      </c>
      <c r="X67" s="62">
        <f t="shared" si="12"/>
        <v>1.5666822251058896</v>
      </c>
    </row>
    <row r="68" spans="1:24" ht="15" customHeight="1">
      <c r="A68" s="36" t="s">
        <v>68</v>
      </c>
      <c r="B68" s="60">
        <f>'Расчет субсидий'!AG68</f>
        <v>31.872727272727275</v>
      </c>
      <c r="C68" s="62">
        <f>'Расчет субсидий'!D68-1</f>
        <v>-0.37580919931856904</v>
      </c>
      <c r="D68" s="62">
        <f>C68*'Расчет субсидий'!E68</f>
        <v>-3.7580919931856904</v>
      </c>
      <c r="E68" s="63">
        <f>$B68*D68/$X68</f>
        <v>-14.569172926956224</v>
      </c>
      <c r="F68" s="30" t="s">
        <v>376</v>
      </c>
      <c r="G68" s="30" t="s">
        <v>376</v>
      </c>
      <c r="H68" s="30" t="s">
        <v>376</v>
      </c>
      <c r="I68" s="30" t="s">
        <v>376</v>
      </c>
      <c r="J68" s="30" t="s">
        <v>376</v>
      </c>
      <c r="K68" s="30" t="s">
        <v>376</v>
      </c>
      <c r="L68" s="62">
        <f>'Расчет субсидий'!P68-1</f>
        <v>-0.41351976219310793</v>
      </c>
      <c r="M68" s="62">
        <f>L68*'Расчет субсидий'!Q68</f>
        <v>-8.2703952438621577</v>
      </c>
      <c r="N68" s="63">
        <f>$B68*M68/$X68</f>
        <v>-32.062232297821886</v>
      </c>
      <c r="O68" s="62">
        <f>'Расчет субсидий'!R68-1</f>
        <v>0</v>
      </c>
      <c r="P68" s="62">
        <f>O68*'Расчет субсидий'!S68</f>
        <v>0</v>
      </c>
      <c r="Q68" s="63">
        <f>$B68*P68/$X68</f>
        <v>0</v>
      </c>
      <c r="R68" s="62">
        <f>'Расчет субсидий'!V68-1</f>
        <v>4.05</v>
      </c>
      <c r="S68" s="62">
        <f>R68*'Расчет субсидий'!W68</f>
        <v>20.25</v>
      </c>
      <c r="T68" s="63">
        <f>$B68*S68/$X68</f>
        <v>78.504132497505395</v>
      </c>
      <c r="U68" s="62">
        <f>'Расчет субсидий'!Z68-1</f>
        <v>0</v>
      </c>
      <c r="V68" s="62">
        <f>U68*'Расчет субсидий'!AA68</f>
        <v>0</v>
      </c>
      <c r="W68" s="63">
        <f>$B68*V68/$X68</f>
        <v>0</v>
      </c>
      <c r="X68" s="62">
        <f t="shared" si="12"/>
        <v>8.2215127629521518</v>
      </c>
    </row>
    <row r="69" spans="1:24" ht="15" customHeight="1">
      <c r="A69" s="36" t="s">
        <v>69</v>
      </c>
      <c r="B69" s="60">
        <f>'Расчет субсидий'!AG69</f>
        <v>23.990909090909099</v>
      </c>
      <c r="C69" s="62">
        <f>'Расчет субсидий'!D69-1</f>
        <v>-0.13076054216867472</v>
      </c>
      <c r="D69" s="62">
        <f>C69*'Расчет субсидий'!E69</f>
        <v>-1.3076054216867472</v>
      </c>
      <c r="E69" s="63">
        <f>$B69*D69/$X69</f>
        <v>-0.82140936887460914</v>
      </c>
      <c r="F69" s="30" t="s">
        <v>376</v>
      </c>
      <c r="G69" s="30" t="s">
        <v>376</v>
      </c>
      <c r="H69" s="30" t="s">
        <v>376</v>
      </c>
      <c r="I69" s="30" t="s">
        <v>376</v>
      </c>
      <c r="J69" s="30" t="s">
        <v>376</v>
      </c>
      <c r="K69" s="30" t="s">
        <v>376</v>
      </c>
      <c r="L69" s="62">
        <f>'Расчет субсидий'!P69-1</f>
        <v>-0.33233532934131726</v>
      </c>
      <c r="M69" s="62">
        <f>L69*'Расчет субсидий'!Q69</f>
        <v>-6.6467065868263457</v>
      </c>
      <c r="N69" s="63">
        <f>$B69*M69/$X69</f>
        <v>-4.1753169358513613</v>
      </c>
      <c r="O69" s="62">
        <f>'Расчет субсидий'!R69-1</f>
        <v>0</v>
      </c>
      <c r="P69" s="62">
        <f>O69*'Расчет субсидий'!S69</f>
        <v>0</v>
      </c>
      <c r="Q69" s="63">
        <f>$B69*P69/$X69</f>
        <v>0</v>
      </c>
      <c r="R69" s="62">
        <f>'Расчет субсидий'!V69-1</f>
        <v>7.1428571428571397E-2</v>
      </c>
      <c r="S69" s="62">
        <f>R69*'Расчет субсидий'!W69</f>
        <v>1.4285714285714279</v>
      </c>
      <c r="T69" s="63">
        <f>$B69*S69/$X69</f>
        <v>0.89739759110318806</v>
      </c>
      <c r="U69" s="62">
        <f>'Расчет субсидий'!Z69-1</f>
        <v>1.4905660377358489</v>
      </c>
      <c r="V69" s="62">
        <f>U69*'Расчет субсидий'!AA69</f>
        <v>44.716981132075468</v>
      </c>
      <c r="W69" s="63">
        <f>$B69*V69/$X69</f>
        <v>28.090237804531878</v>
      </c>
      <c r="X69" s="62">
        <f t="shared" si="12"/>
        <v>38.191240552133806</v>
      </c>
    </row>
    <row r="70" spans="1:24" ht="15" customHeight="1">
      <c r="A70" s="36" t="s">
        <v>70</v>
      </c>
      <c r="B70" s="60">
        <f>'Расчет субсидий'!AG70</f>
        <v>-7.0909090909090917</v>
      </c>
      <c r="C70" s="62">
        <f>'Расчет субсидий'!D70-1</f>
        <v>0.22504573662876215</v>
      </c>
      <c r="D70" s="62">
        <f>C70*'Расчет субсидий'!E70</f>
        <v>2.2504573662876215</v>
      </c>
      <c r="E70" s="63">
        <f>$B70*D70/$X70</f>
        <v>0.33393253146111751</v>
      </c>
      <c r="F70" s="30" t="s">
        <v>376</v>
      </c>
      <c r="G70" s="30" t="s">
        <v>376</v>
      </c>
      <c r="H70" s="30" t="s">
        <v>376</v>
      </c>
      <c r="I70" s="30" t="s">
        <v>376</v>
      </c>
      <c r="J70" s="30" t="s">
        <v>376</v>
      </c>
      <c r="K70" s="30" t="s">
        <v>376</v>
      </c>
      <c r="L70" s="62">
        <f>'Расчет субсидий'!P70-1</f>
        <v>-0.50189603412861428</v>
      </c>
      <c r="M70" s="62">
        <f>L70*'Расчет субсидий'!Q70</f>
        <v>-10.037920682572285</v>
      </c>
      <c r="N70" s="63">
        <f>$B70*M70/$X70</f>
        <v>-1.4894697914969821</v>
      </c>
      <c r="O70" s="62">
        <f>'Расчет субсидий'!R70-1</f>
        <v>0</v>
      </c>
      <c r="P70" s="62">
        <f>O70*'Расчет субсидий'!S70</f>
        <v>0</v>
      </c>
      <c r="Q70" s="63">
        <f>$B70*P70/$X70</f>
        <v>0</v>
      </c>
      <c r="R70" s="62">
        <f>'Расчет субсидий'!V70-1</f>
        <v>0</v>
      </c>
      <c r="S70" s="62">
        <f>R70*'Расчет субсидий'!W70</f>
        <v>0</v>
      </c>
      <c r="T70" s="63">
        <f>$B70*S70/$X70</f>
        <v>0</v>
      </c>
      <c r="U70" s="62">
        <f>'Расчет субсидий'!Z70-1</f>
        <v>-1</v>
      </c>
      <c r="V70" s="62">
        <f>U70*'Расчет субсидий'!AA70</f>
        <v>-40</v>
      </c>
      <c r="W70" s="63">
        <f>$B70*V70/$X70</f>
        <v>-5.9353718308732271</v>
      </c>
      <c r="X70" s="62">
        <f t="shared" si="12"/>
        <v>-47.787463316284665</v>
      </c>
    </row>
    <row r="71" spans="1:24" ht="15" customHeight="1">
      <c r="A71" s="36" t="s">
        <v>71</v>
      </c>
      <c r="B71" s="60">
        <f>'Расчет субсидий'!AG71</f>
        <v>-34.172727272727286</v>
      </c>
      <c r="C71" s="62">
        <f>'Расчет субсидий'!D71-1</f>
        <v>-1</v>
      </c>
      <c r="D71" s="62">
        <f>C71*'Расчет субсидий'!E71</f>
        <v>0</v>
      </c>
      <c r="E71" s="63">
        <f>$B71*D71/$X71</f>
        <v>0</v>
      </c>
      <c r="F71" s="30" t="s">
        <v>376</v>
      </c>
      <c r="G71" s="30" t="s">
        <v>376</v>
      </c>
      <c r="H71" s="30" t="s">
        <v>376</v>
      </c>
      <c r="I71" s="30" t="s">
        <v>376</v>
      </c>
      <c r="J71" s="30" t="s">
        <v>376</v>
      </c>
      <c r="K71" s="30" t="s">
        <v>376</v>
      </c>
      <c r="L71" s="62">
        <f>'Расчет субсидий'!P71-1</f>
        <v>-0.64409221902017288</v>
      </c>
      <c r="M71" s="62">
        <f>L71*'Расчет субсидий'!Q71</f>
        <v>-12.881844380403457</v>
      </c>
      <c r="N71" s="63">
        <f>$B71*M71/$X71</f>
        <v>-21.692581820556178</v>
      </c>
      <c r="O71" s="62">
        <f>'Расчет субсидий'!R71-1</f>
        <v>0</v>
      </c>
      <c r="P71" s="62">
        <f>O71*'Расчет субсидий'!S71</f>
        <v>0</v>
      </c>
      <c r="Q71" s="63">
        <f>$B71*P71/$X71</f>
        <v>0</v>
      </c>
      <c r="R71" s="62">
        <f>'Расчет субсидий'!V71-1</f>
        <v>0.34117647058823541</v>
      </c>
      <c r="S71" s="62">
        <f>R71*'Расчет субсидий'!W71</f>
        <v>6.8235294117647083</v>
      </c>
      <c r="T71" s="63">
        <f>$B71*S71/$X71</f>
        <v>11.490588280576757</v>
      </c>
      <c r="U71" s="62">
        <f>'Расчет субсидий'!Z71-1</f>
        <v>-0.47448979591836737</v>
      </c>
      <c r="V71" s="62">
        <f>U71*'Расчет субсидий'!AA71</f>
        <v>-14.23469387755102</v>
      </c>
      <c r="W71" s="63">
        <f>$B71*V71/$X71</f>
        <v>-23.97073373274786</v>
      </c>
      <c r="X71" s="62">
        <f t="shared" si="12"/>
        <v>-20.293008846189771</v>
      </c>
    </row>
    <row r="72" spans="1:24" ht="15" customHeight="1">
      <c r="A72" s="35" t="s">
        <v>72</v>
      </c>
      <c r="B72" s="64"/>
      <c r="C72" s="65"/>
      <c r="D72" s="65"/>
      <c r="E72" s="66"/>
      <c r="F72" s="65"/>
      <c r="G72" s="65"/>
      <c r="H72" s="66"/>
      <c r="I72" s="66"/>
      <c r="J72" s="66"/>
      <c r="K72" s="66"/>
      <c r="L72" s="65"/>
      <c r="M72" s="65"/>
      <c r="N72" s="66"/>
      <c r="O72" s="65"/>
      <c r="P72" s="65"/>
      <c r="Q72" s="66"/>
      <c r="R72" s="65"/>
      <c r="S72" s="65"/>
      <c r="T72" s="66"/>
      <c r="U72" s="65"/>
      <c r="V72" s="65"/>
      <c r="W72" s="66"/>
      <c r="X72" s="66"/>
    </row>
    <row r="73" spans="1:24" ht="15" customHeight="1">
      <c r="A73" s="36" t="s">
        <v>73</v>
      </c>
      <c r="B73" s="60">
        <f>'Расчет субсидий'!AG73</f>
        <v>-2.463636363636363</v>
      </c>
      <c r="C73" s="62">
        <f>'Расчет субсидий'!D73-1</f>
        <v>0.12163187855787472</v>
      </c>
      <c r="D73" s="62">
        <f>C73*'Расчет субсидий'!E73</f>
        <v>1.2163187855787472</v>
      </c>
      <c r="E73" s="63">
        <f t="shared" ref="E73:E80" si="18">$B73*D73/$X73</f>
        <v>0.19573100868798271</v>
      </c>
      <c r="F73" s="30" t="s">
        <v>376</v>
      </c>
      <c r="G73" s="30" t="s">
        <v>376</v>
      </c>
      <c r="H73" s="30" t="s">
        <v>376</v>
      </c>
      <c r="I73" s="30" t="s">
        <v>376</v>
      </c>
      <c r="J73" s="30" t="s">
        <v>376</v>
      </c>
      <c r="K73" s="30" t="s">
        <v>376</v>
      </c>
      <c r="L73" s="62">
        <f>'Расчет субсидий'!P73-1</f>
        <v>-0.62484058381748619</v>
      </c>
      <c r="M73" s="62">
        <f>L73*'Расчет субсидий'!Q73</f>
        <v>-12.496811676349724</v>
      </c>
      <c r="N73" s="63">
        <f t="shared" ref="N73:N80" si="19">$B73*M73/$X73</f>
        <v>-2.0109971035527767</v>
      </c>
      <c r="O73" s="62">
        <f>'Расчет субсидий'!R73-1</f>
        <v>0</v>
      </c>
      <c r="P73" s="62">
        <f>O73*'Расчет субсидий'!S73</f>
        <v>0</v>
      </c>
      <c r="Q73" s="63">
        <f t="shared" ref="Q73:Q80" si="20">$B73*P73/$X73</f>
        <v>0</v>
      </c>
      <c r="R73" s="62">
        <f>'Расчет субсидий'!V73-1</f>
        <v>-0.20097087378640777</v>
      </c>
      <c r="S73" s="62">
        <f>R73*'Расчет субсидий'!W73</f>
        <v>-6.0291262135922334</v>
      </c>
      <c r="T73" s="63">
        <f t="shared" ref="T73:T80" si="21">$B73*S73/$X73</f>
        <v>-0.97021189616179315</v>
      </c>
      <c r="U73" s="62">
        <f>'Расчет субсидий'!Z73-1</f>
        <v>9.9999999999999867E-2</v>
      </c>
      <c r="V73" s="62">
        <f>U73*'Расчет субсидий'!AA73</f>
        <v>1.9999999999999973</v>
      </c>
      <c r="W73" s="63">
        <f t="shared" ref="W73:W80" si="22">$B73*V73/$X73</f>
        <v>0.32184162739022404</v>
      </c>
      <c r="X73" s="62">
        <f t="shared" si="12"/>
        <v>-15.309619104363211</v>
      </c>
    </row>
    <row r="74" spans="1:24" ht="15" customHeight="1">
      <c r="A74" s="36" t="s">
        <v>74</v>
      </c>
      <c r="B74" s="60">
        <f>'Расчет субсидий'!AG74</f>
        <v>-10.381818181818176</v>
      </c>
      <c r="C74" s="62">
        <f>'Расчет субсидий'!D74-1</f>
        <v>-3.9894102610918414E-2</v>
      </c>
      <c r="D74" s="62">
        <f>C74*'Расчет субсидий'!E74</f>
        <v>-0.39894102610918414</v>
      </c>
      <c r="E74" s="63">
        <f t="shared" si="18"/>
        <v>-1.7707427771520026</v>
      </c>
      <c r="F74" s="30" t="s">
        <v>376</v>
      </c>
      <c r="G74" s="30" t="s">
        <v>376</v>
      </c>
      <c r="H74" s="30" t="s">
        <v>376</v>
      </c>
      <c r="I74" s="30" t="s">
        <v>376</v>
      </c>
      <c r="J74" s="30" t="s">
        <v>376</v>
      </c>
      <c r="K74" s="30" t="s">
        <v>376</v>
      </c>
      <c r="L74" s="62">
        <f>'Расчет субсидий'!P74-1</f>
        <v>-0.11667730887560224</v>
      </c>
      <c r="M74" s="62">
        <f>L74*'Расчет субсидий'!Q74</f>
        <v>-2.3335461775120447</v>
      </c>
      <c r="N74" s="63">
        <f t="shared" si="19"/>
        <v>-10.357696422651756</v>
      </c>
      <c r="O74" s="62">
        <f>'Расчет субсидий'!R74-1</f>
        <v>0</v>
      </c>
      <c r="P74" s="62">
        <f>O74*'Расчет субсидий'!S74</f>
        <v>0</v>
      </c>
      <c r="Q74" s="63">
        <f t="shared" si="20"/>
        <v>0</v>
      </c>
      <c r="R74" s="62">
        <f>'Расчет субсидий'!V74-1</f>
        <v>1.8181818181819409E-3</v>
      </c>
      <c r="S74" s="62">
        <f>R74*'Расчет субсидий'!W74</f>
        <v>3.6363636363638818E-2</v>
      </c>
      <c r="T74" s="63">
        <f t="shared" si="21"/>
        <v>0.16140392245412383</v>
      </c>
      <c r="U74" s="62">
        <f>'Расчет субсидий'!Z74-1</f>
        <v>1.1904761904761862E-2</v>
      </c>
      <c r="V74" s="62">
        <f>U74*'Расчет субсидий'!AA74</f>
        <v>0.35714285714285587</v>
      </c>
      <c r="W74" s="63">
        <f t="shared" si="22"/>
        <v>1.5852170955314606</v>
      </c>
      <c r="X74" s="62">
        <f t="shared" si="12"/>
        <v>-2.3389807101147344</v>
      </c>
    </row>
    <row r="75" spans="1:24" ht="15" customHeight="1">
      <c r="A75" s="36" t="s">
        <v>75</v>
      </c>
      <c r="B75" s="60">
        <f>'Расчет субсидий'!AG75</f>
        <v>-3.5272727272727238</v>
      </c>
      <c r="C75" s="62">
        <f>'Расчет субсидий'!D75-1</f>
        <v>1</v>
      </c>
      <c r="D75" s="62">
        <f>C75*'Расчет субсидий'!E75</f>
        <v>10</v>
      </c>
      <c r="E75" s="63">
        <f t="shared" si="18"/>
        <v>6.1127132881234241</v>
      </c>
      <c r="F75" s="30" t="s">
        <v>376</v>
      </c>
      <c r="G75" s="30" t="s">
        <v>376</v>
      </c>
      <c r="H75" s="30" t="s">
        <v>376</v>
      </c>
      <c r="I75" s="30" t="s">
        <v>376</v>
      </c>
      <c r="J75" s="30" t="s">
        <v>376</v>
      </c>
      <c r="K75" s="30" t="s">
        <v>376</v>
      </c>
      <c r="L75" s="62">
        <f>'Расчет субсидий'!P75-1</f>
        <v>-0.80637654177333018</v>
      </c>
      <c r="M75" s="62">
        <f>L75*'Расчет субсидий'!Q75</f>
        <v>-16.127530835466604</v>
      </c>
      <c r="N75" s="63">
        <f t="shared" si="19"/>
        <v>-9.8582972042576973</v>
      </c>
      <c r="O75" s="62">
        <f>'Расчет субсидий'!R75-1</f>
        <v>0</v>
      </c>
      <c r="P75" s="62">
        <f>O75*'Расчет субсидий'!S75</f>
        <v>0</v>
      </c>
      <c r="Q75" s="63">
        <f t="shared" si="20"/>
        <v>0</v>
      </c>
      <c r="R75" s="62">
        <f>'Расчет субсидий'!V75-1</f>
        <v>1.4285714285714235E-2</v>
      </c>
      <c r="S75" s="62">
        <f>R75*'Расчет субсидий'!W75</f>
        <v>0.35714285714285587</v>
      </c>
      <c r="T75" s="63">
        <f t="shared" si="21"/>
        <v>0.21831118886155007</v>
      </c>
      <c r="U75" s="62">
        <f>'Расчет субсидий'!Z75-1</f>
        <v>0</v>
      </c>
      <c r="V75" s="62">
        <f>U75*'Расчет субсидий'!AA75</f>
        <v>0</v>
      </c>
      <c r="W75" s="63">
        <f t="shared" si="22"/>
        <v>0</v>
      </c>
      <c r="X75" s="62">
        <f t="shared" si="12"/>
        <v>-5.7703879783237486</v>
      </c>
    </row>
    <row r="76" spans="1:24" ht="15" customHeight="1">
      <c r="A76" s="36" t="s">
        <v>76</v>
      </c>
      <c r="B76" s="60">
        <f>'Расчет субсидий'!AG76</f>
        <v>10.172727272727272</v>
      </c>
      <c r="C76" s="62">
        <f>'Расчет субсидий'!D76-1</f>
        <v>0.31320754716981125</v>
      </c>
      <c r="D76" s="62">
        <f>C76*'Расчет субсидий'!E76</f>
        <v>3.1320754716981125</v>
      </c>
      <c r="E76" s="63">
        <f t="shared" si="18"/>
        <v>2.9581540409244798</v>
      </c>
      <c r="F76" s="30" t="s">
        <v>376</v>
      </c>
      <c r="G76" s="30" t="s">
        <v>376</v>
      </c>
      <c r="H76" s="30" t="s">
        <v>376</v>
      </c>
      <c r="I76" s="30" t="s">
        <v>376</v>
      </c>
      <c r="J76" s="30" t="s">
        <v>376</v>
      </c>
      <c r="K76" s="30" t="s">
        <v>376</v>
      </c>
      <c r="L76" s="62">
        <f>'Расчет субсидий'!P76-1</f>
        <v>0.87638175307488742</v>
      </c>
      <c r="M76" s="62">
        <f>L76*'Расчет субсидий'!Q76</f>
        <v>17.527635061497747</v>
      </c>
      <c r="N76" s="63">
        <f t="shared" si="19"/>
        <v>16.554340709072385</v>
      </c>
      <c r="O76" s="62">
        <f>'Расчет субсидий'!R76-1</f>
        <v>0</v>
      </c>
      <c r="P76" s="62">
        <f>O76*'Расчет субсидий'!S76</f>
        <v>0</v>
      </c>
      <c r="Q76" s="63">
        <f t="shared" si="20"/>
        <v>0</v>
      </c>
      <c r="R76" s="62">
        <f>'Расчет субсидий'!V76-1</f>
        <v>3.7037037037037646E-3</v>
      </c>
      <c r="S76" s="62">
        <f>R76*'Расчет субсидий'!W76</f>
        <v>0.11111111111111294</v>
      </c>
      <c r="T76" s="63">
        <f t="shared" si="21"/>
        <v>0.10494120760977245</v>
      </c>
      <c r="U76" s="62">
        <f>'Расчет субсидий'!Z76-1</f>
        <v>-0.5</v>
      </c>
      <c r="V76" s="62">
        <f>U76*'Расчет субсидий'!AA76</f>
        <v>-10</v>
      </c>
      <c r="W76" s="63">
        <f t="shared" si="22"/>
        <v>-9.444708684879366</v>
      </c>
      <c r="X76" s="62">
        <f t="shared" si="12"/>
        <v>10.770821644306974</v>
      </c>
    </row>
    <row r="77" spans="1:24" ht="15" customHeight="1">
      <c r="A77" s="36" t="s">
        <v>77</v>
      </c>
      <c r="B77" s="60">
        <f>'Расчет субсидий'!AG77</f>
        <v>-4.6181818181818173</v>
      </c>
      <c r="C77" s="62">
        <f>'Расчет субсидий'!D77-1</f>
        <v>-8.3157894736842208E-2</v>
      </c>
      <c r="D77" s="62">
        <f>C77*'Расчет субсидий'!E77</f>
        <v>-0.83157894736842208</v>
      </c>
      <c r="E77" s="63">
        <f t="shared" si="18"/>
        <v>-0.2273989236642594</v>
      </c>
      <c r="F77" s="30" t="s">
        <v>376</v>
      </c>
      <c r="G77" s="30" t="s">
        <v>376</v>
      </c>
      <c r="H77" s="30" t="s">
        <v>376</v>
      </c>
      <c r="I77" s="30" t="s">
        <v>376</v>
      </c>
      <c r="J77" s="30" t="s">
        <v>376</v>
      </c>
      <c r="K77" s="30" t="s">
        <v>376</v>
      </c>
      <c r="L77" s="62">
        <f>'Расчет субсидий'!P77-1</f>
        <v>-0.91283638961657543</v>
      </c>
      <c r="M77" s="62">
        <f>L77*'Расчет субсидий'!Q77</f>
        <v>-18.25672779233151</v>
      </c>
      <c r="N77" s="63">
        <f t="shared" si="19"/>
        <v>-4.9923825786419913</v>
      </c>
      <c r="O77" s="62">
        <f>'Расчет субсидий'!R77-1</f>
        <v>0</v>
      </c>
      <c r="P77" s="62">
        <f>O77*'Расчет субсидий'!S77</f>
        <v>0</v>
      </c>
      <c r="Q77" s="63">
        <f t="shared" si="20"/>
        <v>0</v>
      </c>
      <c r="R77" s="62">
        <f>'Расчет субсидий'!V77-1</f>
        <v>4.0000000000000036E-2</v>
      </c>
      <c r="S77" s="62">
        <f>R77*'Расчет субсидий'!W77</f>
        <v>1.2000000000000011</v>
      </c>
      <c r="T77" s="63">
        <f t="shared" si="21"/>
        <v>0.32814528224969064</v>
      </c>
      <c r="U77" s="62">
        <f>'Расчет субсидий'!Z77-1</f>
        <v>5.0000000000000044E-2</v>
      </c>
      <c r="V77" s="62">
        <f>U77*'Расчет субсидий'!AA77</f>
        <v>1.0000000000000009</v>
      </c>
      <c r="W77" s="63">
        <f t="shared" si="22"/>
        <v>0.27345440187474224</v>
      </c>
      <c r="X77" s="62">
        <f t="shared" si="12"/>
        <v>-16.888306739699928</v>
      </c>
    </row>
    <row r="78" spans="1:24" ht="15" customHeight="1">
      <c r="A78" s="36" t="s">
        <v>78</v>
      </c>
      <c r="B78" s="60">
        <f>'Расчет субсидий'!AG78</f>
        <v>-34.409090909090907</v>
      </c>
      <c r="C78" s="62">
        <f>'Расчет субсидий'!D78-1</f>
        <v>-0.31379310344827593</v>
      </c>
      <c r="D78" s="62">
        <f>C78*'Расчет субсидий'!E78</f>
        <v>-3.1379310344827593</v>
      </c>
      <c r="E78" s="63">
        <f t="shared" si="18"/>
        <v>-5.187877250148837</v>
      </c>
      <c r="F78" s="30" t="s">
        <v>376</v>
      </c>
      <c r="G78" s="30" t="s">
        <v>376</v>
      </c>
      <c r="H78" s="30" t="s">
        <v>376</v>
      </c>
      <c r="I78" s="30" t="s">
        <v>376</v>
      </c>
      <c r="J78" s="30" t="s">
        <v>376</v>
      </c>
      <c r="K78" s="30" t="s">
        <v>376</v>
      </c>
      <c r="L78" s="62">
        <f>'Расчет субсидий'!P78-1</f>
        <v>-0.71545893719806763</v>
      </c>
      <c r="M78" s="62">
        <f>L78*'Расчет субсидий'!Q78</f>
        <v>-14.309178743961352</v>
      </c>
      <c r="N78" s="63">
        <f t="shared" si="19"/>
        <v>-23.65707278405716</v>
      </c>
      <c r="O78" s="62">
        <f>'Расчет субсидий'!R78-1</f>
        <v>0</v>
      </c>
      <c r="P78" s="62">
        <f>O78*'Расчет субсидий'!S78</f>
        <v>0</v>
      </c>
      <c r="Q78" s="63">
        <f t="shared" si="20"/>
        <v>0</v>
      </c>
      <c r="R78" s="62">
        <f>'Расчет субсидий'!V78-1</f>
        <v>-0.14551724137931032</v>
      </c>
      <c r="S78" s="62">
        <f>R78*'Расчет субсидий'!W78</f>
        <v>-4.36551724137931</v>
      </c>
      <c r="T78" s="63">
        <f t="shared" si="21"/>
        <v>-7.2174204381191505</v>
      </c>
      <c r="U78" s="62">
        <f>'Расчет субсидий'!Z78-1</f>
        <v>5.0000000000000044E-2</v>
      </c>
      <c r="V78" s="62">
        <f>U78*'Расчет субсидий'!AA78</f>
        <v>1.0000000000000009</v>
      </c>
      <c r="W78" s="63">
        <f t="shared" si="22"/>
        <v>1.6532795632342459</v>
      </c>
      <c r="X78" s="62">
        <f t="shared" si="12"/>
        <v>-20.812627019823424</v>
      </c>
    </row>
    <row r="79" spans="1:24" ht="15" customHeight="1">
      <c r="A79" s="36" t="s">
        <v>79</v>
      </c>
      <c r="B79" s="60">
        <f>'Расчет субсидий'!AG79</f>
        <v>-17.436363636363637</v>
      </c>
      <c r="C79" s="62">
        <f>'Расчет субсидий'!D79-1</f>
        <v>-0.28648255813953494</v>
      </c>
      <c r="D79" s="62">
        <f>C79*'Расчет субсидий'!E79</f>
        <v>-2.8648255813953494</v>
      </c>
      <c r="E79" s="63">
        <f t="shared" si="18"/>
        <v>-5.5220582015919044</v>
      </c>
      <c r="F79" s="30" t="s">
        <v>376</v>
      </c>
      <c r="G79" s="30" t="s">
        <v>376</v>
      </c>
      <c r="H79" s="30" t="s">
        <v>376</v>
      </c>
      <c r="I79" s="30" t="s">
        <v>376</v>
      </c>
      <c r="J79" s="30" t="s">
        <v>376</v>
      </c>
      <c r="K79" s="30" t="s">
        <v>376</v>
      </c>
      <c r="L79" s="62">
        <f>'Расчет субсидий'!P79-1</f>
        <v>-0.55905511811023623</v>
      </c>
      <c r="M79" s="62">
        <f>L79*'Расчет субсидий'!Q79</f>
        <v>-11.181102362204724</v>
      </c>
      <c r="N79" s="63">
        <f t="shared" si="19"/>
        <v>-21.55199199665714</v>
      </c>
      <c r="O79" s="62">
        <f>'Расчет субсидий'!R79-1</f>
        <v>0</v>
      </c>
      <c r="P79" s="62">
        <f>O79*'Расчет субсидий'!S79</f>
        <v>0</v>
      </c>
      <c r="Q79" s="63">
        <f t="shared" si="20"/>
        <v>0</v>
      </c>
      <c r="R79" s="62">
        <f>'Расчет субсидий'!V79-1</f>
        <v>6.6666666666666652E-2</v>
      </c>
      <c r="S79" s="62">
        <f>R79*'Расчет субсидий'!W79</f>
        <v>1.6666666666666663</v>
      </c>
      <c r="T79" s="63">
        <f t="shared" si="21"/>
        <v>3.2125621872951364</v>
      </c>
      <c r="U79" s="62">
        <f>'Расчет субсидий'!Z79-1</f>
        <v>0.1333333333333333</v>
      </c>
      <c r="V79" s="62">
        <f>U79*'Расчет субсидий'!AA79</f>
        <v>3.3333333333333326</v>
      </c>
      <c r="W79" s="63">
        <f t="shared" si="22"/>
        <v>6.4251243745902729</v>
      </c>
      <c r="X79" s="62">
        <f t="shared" si="12"/>
        <v>-9.0459279436000752</v>
      </c>
    </row>
    <row r="80" spans="1:24" ht="15" customHeight="1">
      <c r="A80" s="36" t="s">
        <v>80</v>
      </c>
      <c r="B80" s="60">
        <f>'Расчет субсидий'!AG80</f>
        <v>-7.818181818181813</v>
      </c>
      <c r="C80" s="62">
        <f>'Расчет субсидий'!D80-1</f>
        <v>0.33818181818181814</v>
      </c>
      <c r="D80" s="62">
        <f>C80*'Расчет субсидий'!E80</f>
        <v>3.3818181818181814</v>
      </c>
      <c r="E80" s="63">
        <f t="shared" si="18"/>
        <v>2.4191322735175009</v>
      </c>
      <c r="F80" s="30" t="s">
        <v>376</v>
      </c>
      <c r="G80" s="30" t="s">
        <v>376</v>
      </c>
      <c r="H80" s="30" t="s">
        <v>376</v>
      </c>
      <c r="I80" s="30" t="s">
        <v>376</v>
      </c>
      <c r="J80" s="30" t="s">
        <v>376</v>
      </c>
      <c r="K80" s="30" t="s">
        <v>376</v>
      </c>
      <c r="L80" s="62">
        <f>'Расчет субсидий'!P80-1</f>
        <v>-0.84889434889434889</v>
      </c>
      <c r="M80" s="62">
        <f>L80*'Расчет субсидий'!Q80</f>
        <v>-16.977886977886978</v>
      </c>
      <c r="N80" s="63">
        <f t="shared" si="19"/>
        <v>-12.144873590530318</v>
      </c>
      <c r="O80" s="62">
        <f>'Расчет субсидий'!R80-1</f>
        <v>0</v>
      </c>
      <c r="P80" s="62">
        <f>O80*'Расчет субсидий'!S80</f>
        <v>0</v>
      </c>
      <c r="Q80" s="63">
        <f t="shared" si="20"/>
        <v>0</v>
      </c>
      <c r="R80" s="62">
        <f>'Расчет субсидий'!V80-1</f>
        <v>3.3333333333333437E-2</v>
      </c>
      <c r="S80" s="62">
        <f>R80*'Расчет субсидий'!W80</f>
        <v>0.66666666666666874</v>
      </c>
      <c r="T80" s="63">
        <f t="shared" si="21"/>
        <v>0.47688987470775263</v>
      </c>
      <c r="U80" s="62">
        <f>'Расчет субсидий'!Z80-1</f>
        <v>6.6666666666666652E-2</v>
      </c>
      <c r="V80" s="62">
        <f>U80*'Расчет субсидий'!AA80</f>
        <v>1.9999999999999996</v>
      </c>
      <c r="W80" s="63">
        <f t="shared" si="22"/>
        <v>1.430669624123253</v>
      </c>
      <c r="X80" s="62">
        <f t="shared" si="12"/>
        <v>-10.929402129402128</v>
      </c>
    </row>
    <row r="81" spans="1:24" ht="15" customHeight="1">
      <c r="A81" s="35" t="s">
        <v>81</v>
      </c>
      <c r="B81" s="64"/>
      <c r="C81" s="65"/>
      <c r="D81" s="65"/>
      <c r="E81" s="66"/>
      <c r="F81" s="65"/>
      <c r="G81" s="65"/>
      <c r="H81" s="66"/>
      <c r="I81" s="66"/>
      <c r="J81" s="66"/>
      <c r="K81" s="66"/>
      <c r="L81" s="65"/>
      <c r="M81" s="65"/>
      <c r="N81" s="66"/>
      <c r="O81" s="65"/>
      <c r="P81" s="65"/>
      <c r="Q81" s="66"/>
      <c r="R81" s="65"/>
      <c r="S81" s="65"/>
      <c r="T81" s="66"/>
      <c r="U81" s="65"/>
      <c r="V81" s="65"/>
      <c r="W81" s="66"/>
      <c r="X81" s="66"/>
    </row>
    <row r="82" spans="1:24" ht="15" customHeight="1">
      <c r="A82" s="36" t="s">
        <v>82</v>
      </c>
      <c r="B82" s="60">
        <f>'Расчет субсидий'!AG82</f>
        <v>9.5090909090909008</v>
      </c>
      <c r="C82" s="62">
        <f>'Расчет субсидий'!D82-1</f>
        <v>0.20734528629265481</v>
      </c>
      <c r="D82" s="62">
        <f>C82*'Расчет субсидий'!E82</f>
        <v>2.0734528629265481</v>
      </c>
      <c r="E82" s="63">
        <f t="shared" ref="E82:E90" si="23">$B82*D82/$X82</f>
        <v>2.3931970847940489</v>
      </c>
      <c r="F82" s="30" t="s">
        <v>376</v>
      </c>
      <c r="G82" s="30" t="s">
        <v>376</v>
      </c>
      <c r="H82" s="30" t="s">
        <v>376</v>
      </c>
      <c r="I82" s="30" t="s">
        <v>376</v>
      </c>
      <c r="J82" s="30" t="s">
        <v>376</v>
      </c>
      <c r="K82" s="30" t="s">
        <v>376</v>
      </c>
      <c r="L82" s="62">
        <f>'Расчет субсидий'!P82-1</f>
        <v>-0.14003688035578699</v>
      </c>
      <c r="M82" s="62">
        <f>L82*'Расчет субсидий'!Q82</f>
        <v>-2.8007376071157397</v>
      </c>
      <c r="N82" s="63">
        <f t="shared" ref="N82:N90" si="24">$B82*M82/$X82</f>
        <v>-3.2326353767029867</v>
      </c>
      <c r="O82" s="62">
        <f>'Расчет субсидий'!R82-1</f>
        <v>0</v>
      </c>
      <c r="P82" s="62">
        <f>O82*'Расчет субсидий'!S82</f>
        <v>0</v>
      </c>
      <c r="Q82" s="63">
        <f t="shared" ref="Q82:Q90" si="25">$B82*P82/$X82</f>
        <v>0</v>
      </c>
      <c r="R82" s="62">
        <f>'Расчет субсидий'!V82-1</f>
        <v>0.15227272727272734</v>
      </c>
      <c r="S82" s="62">
        <f>R82*'Расчет субсидий'!W82</f>
        <v>2.2840909090909101</v>
      </c>
      <c r="T82" s="63">
        <f t="shared" ref="T82:T90" si="26">$B82*S82/$X82</f>
        <v>2.6363173249695415</v>
      </c>
      <c r="U82" s="62">
        <f>'Расчет субсидий'!Z82-1</f>
        <v>0.19090909090909092</v>
      </c>
      <c r="V82" s="62">
        <f>U82*'Расчет субсидий'!AA82</f>
        <v>6.6818181818181817</v>
      </c>
      <c r="W82" s="63">
        <f t="shared" ref="W82:W90" si="27">$B82*V82/$X82</f>
        <v>7.7122118760302962</v>
      </c>
      <c r="X82" s="62">
        <f t="shared" si="12"/>
        <v>8.2386243467199005</v>
      </c>
    </row>
    <row r="83" spans="1:24" ht="15" customHeight="1">
      <c r="A83" s="36" t="s">
        <v>83</v>
      </c>
      <c r="B83" s="60">
        <f>'Расчет субсидий'!AG83</f>
        <v>3.6090909090909093</v>
      </c>
      <c r="C83" s="62">
        <f>'Расчет субсидий'!D83-1</f>
        <v>-2.0783159397020801E-2</v>
      </c>
      <c r="D83" s="62">
        <f>C83*'Расчет субсидий'!E83</f>
        <v>-0.20783159397020801</v>
      </c>
      <c r="E83" s="63">
        <f t="shared" si="23"/>
        <v>-0.15529650183150806</v>
      </c>
      <c r="F83" s="30" t="s">
        <v>376</v>
      </c>
      <c r="G83" s="30" t="s">
        <v>376</v>
      </c>
      <c r="H83" s="30" t="s">
        <v>376</v>
      </c>
      <c r="I83" s="30" t="s">
        <v>376</v>
      </c>
      <c r="J83" s="30" t="s">
        <v>376</v>
      </c>
      <c r="K83" s="30" t="s">
        <v>376</v>
      </c>
      <c r="L83" s="62">
        <f>'Расчет субсидий'!P83-1</f>
        <v>-0.17682926829268297</v>
      </c>
      <c r="M83" s="62">
        <f>L83*'Расчет субсидий'!Q83</f>
        <v>-3.5365853658536595</v>
      </c>
      <c r="N83" s="63">
        <f t="shared" si="24"/>
        <v>-2.6426171558127307</v>
      </c>
      <c r="O83" s="62">
        <f>'Расчет субсидий'!R83-1</f>
        <v>0</v>
      </c>
      <c r="P83" s="62">
        <f>O83*'Расчет субсидий'!S83</f>
        <v>0</v>
      </c>
      <c r="Q83" s="63">
        <f t="shared" si="25"/>
        <v>0</v>
      </c>
      <c r="R83" s="62">
        <f>'Расчет субсидий'!V83-1</f>
        <v>0.15408805031446526</v>
      </c>
      <c r="S83" s="62">
        <f>R83*'Расчет субсидий'!W83</f>
        <v>3.8522012578616316</v>
      </c>
      <c r="T83" s="63">
        <f t="shared" si="26"/>
        <v>2.8784525406786869</v>
      </c>
      <c r="U83" s="62">
        <f>'Расчет субсидий'!Z83-1</f>
        <v>0.18888888888888888</v>
      </c>
      <c r="V83" s="62">
        <f>U83*'Расчет субсидий'!AA83</f>
        <v>4.7222222222222223</v>
      </c>
      <c r="W83" s="63">
        <f t="shared" si="27"/>
        <v>3.5285520260564613</v>
      </c>
      <c r="X83" s="62">
        <f t="shared" si="12"/>
        <v>4.8300065202599862</v>
      </c>
    </row>
    <row r="84" spans="1:24" ht="15" customHeight="1">
      <c r="A84" s="36" t="s">
        <v>84</v>
      </c>
      <c r="B84" s="60">
        <f>'Расчет субсидий'!AG84</f>
        <v>37.672727272727286</v>
      </c>
      <c r="C84" s="62">
        <f>'Расчет субсидий'!D84-1</f>
        <v>-0.8</v>
      </c>
      <c r="D84" s="62">
        <f>C84*'Расчет субсидий'!E84</f>
        <v>-8</v>
      </c>
      <c r="E84" s="63">
        <f t="shared" si="23"/>
        <v>-3.3205911897189413</v>
      </c>
      <c r="F84" s="30" t="s">
        <v>376</v>
      </c>
      <c r="G84" s="30" t="s">
        <v>376</v>
      </c>
      <c r="H84" s="30" t="s">
        <v>376</v>
      </c>
      <c r="I84" s="30" t="s">
        <v>376</v>
      </c>
      <c r="J84" s="30" t="s">
        <v>376</v>
      </c>
      <c r="K84" s="30" t="s">
        <v>376</v>
      </c>
      <c r="L84" s="62">
        <f>'Расчет субсидий'!P84-1</f>
        <v>4.5172413793103443</v>
      </c>
      <c r="M84" s="62">
        <f>L84*'Расчет субсидий'!Q84</f>
        <v>90.34482758620689</v>
      </c>
      <c r="N84" s="63">
        <f t="shared" si="24"/>
        <v>37.499779814929418</v>
      </c>
      <c r="O84" s="62">
        <f>'Расчет субсидий'!R84-1</f>
        <v>0</v>
      </c>
      <c r="P84" s="62">
        <f>O84*'Расчет субсидий'!S84</f>
        <v>0</v>
      </c>
      <c r="Q84" s="63">
        <f t="shared" si="25"/>
        <v>0</v>
      </c>
      <c r="R84" s="62">
        <f>'Расчет субсидий'!V84-1</f>
        <v>0.1333333333333333</v>
      </c>
      <c r="S84" s="62">
        <f>R84*'Расчет субсидий'!W84</f>
        <v>2.6666666666666661</v>
      </c>
      <c r="T84" s="63">
        <f t="shared" si="26"/>
        <v>1.1068637299063135</v>
      </c>
      <c r="U84" s="62">
        <f>'Расчет субсидий'!Z84-1</f>
        <v>0.19166666666666665</v>
      </c>
      <c r="V84" s="62">
        <f>U84*'Расчет субсидий'!AA84</f>
        <v>5.75</v>
      </c>
      <c r="W84" s="63">
        <f t="shared" si="27"/>
        <v>2.3866749176104891</v>
      </c>
      <c r="X84" s="62">
        <f t="shared" si="12"/>
        <v>90.761494252873561</v>
      </c>
    </row>
    <row r="85" spans="1:24" ht="15" customHeight="1">
      <c r="A85" s="36" t="s">
        <v>85</v>
      </c>
      <c r="B85" s="60">
        <f>'Расчет субсидий'!AG85</f>
        <v>4.5090909090909008</v>
      </c>
      <c r="C85" s="62">
        <f>'Расчет субсидий'!D85-1</f>
        <v>-0.29116465863453811</v>
      </c>
      <c r="D85" s="62">
        <f>C85*'Расчет субсидий'!E85</f>
        <v>-2.9116465863453813</v>
      </c>
      <c r="E85" s="63">
        <f t="shared" si="23"/>
        <v>-4.3892109683741172</v>
      </c>
      <c r="F85" s="30" t="s">
        <v>376</v>
      </c>
      <c r="G85" s="30" t="s">
        <v>376</v>
      </c>
      <c r="H85" s="30" t="s">
        <v>376</v>
      </c>
      <c r="I85" s="30" t="s">
        <v>376</v>
      </c>
      <c r="J85" s="30" t="s">
        <v>376</v>
      </c>
      <c r="K85" s="30" t="s">
        <v>376</v>
      </c>
      <c r="L85" s="62">
        <f>'Расчет субсидий'!P85-1</f>
        <v>-0.16712328767123286</v>
      </c>
      <c r="M85" s="62">
        <f>L85*'Расчет субсидий'!Q85</f>
        <v>-3.3424657534246571</v>
      </c>
      <c r="N85" s="63">
        <f t="shared" si="24"/>
        <v>-5.0386566196417171</v>
      </c>
      <c r="O85" s="62">
        <f>'Расчет субсидий'!R85-1</f>
        <v>0</v>
      </c>
      <c r="P85" s="62">
        <f>O85*'Расчет субсидий'!S85</f>
        <v>0</v>
      </c>
      <c r="Q85" s="63">
        <f t="shared" si="25"/>
        <v>0</v>
      </c>
      <c r="R85" s="62">
        <f>'Расчет субсидий'!V85-1</f>
        <v>0.16981132075471694</v>
      </c>
      <c r="S85" s="62">
        <f>R85*'Расчет субсидий'!W85</f>
        <v>4.2452830188679238</v>
      </c>
      <c r="T85" s="63">
        <f t="shared" si="26"/>
        <v>6.3996237996918657</v>
      </c>
      <c r="U85" s="62">
        <f>'Расчет субсидий'!Z85-1</f>
        <v>0.20000000000000018</v>
      </c>
      <c r="V85" s="62">
        <f>U85*'Расчет субсидий'!AA85</f>
        <v>5.0000000000000044</v>
      </c>
      <c r="W85" s="63">
        <f t="shared" si="27"/>
        <v>7.5373346974148712</v>
      </c>
      <c r="X85" s="62">
        <f t="shared" si="12"/>
        <v>2.9911706790978894</v>
      </c>
    </row>
    <row r="86" spans="1:24" ht="15" customHeight="1">
      <c r="A86" s="36" t="s">
        <v>86</v>
      </c>
      <c r="B86" s="60">
        <f>'Расчет субсидий'!AG86</f>
        <v>12.163636363636385</v>
      </c>
      <c r="C86" s="62">
        <f>'Расчет субсидий'!D86-1</f>
        <v>-0.75</v>
      </c>
      <c r="D86" s="62">
        <f>C86*'Расчет субсидий'!E86</f>
        <v>-7.5</v>
      </c>
      <c r="E86" s="63">
        <f t="shared" si="23"/>
        <v>-10.38876334374012</v>
      </c>
      <c r="F86" s="30" t="s">
        <v>376</v>
      </c>
      <c r="G86" s="30" t="s">
        <v>376</v>
      </c>
      <c r="H86" s="30" t="s">
        <v>376</v>
      </c>
      <c r="I86" s="30" t="s">
        <v>376</v>
      </c>
      <c r="J86" s="30" t="s">
        <v>376</v>
      </c>
      <c r="K86" s="30" t="s">
        <v>376</v>
      </c>
      <c r="L86" s="62">
        <f>'Расчет субсидий'!P86-1</f>
        <v>0.37552742616033763</v>
      </c>
      <c r="M86" s="62">
        <f>L86*'Расчет субсидий'!Q86</f>
        <v>7.5105485232067526</v>
      </c>
      <c r="N86" s="63">
        <f t="shared" si="24"/>
        <v>10.40337482523624</v>
      </c>
      <c r="O86" s="62">
        <f>'Расчет субсидий'!R86-1</f>
        <v>0</v>
      </c>
      <c r="P86" s="62">
        <f>O86*'Расчет субсидий'!S86</f>
        <v>0</v>
      </c>
      <c r="Q86" s="63">
        <f t="shared" si="25"/>
        <v>0</v>
      </c>
      <c r="R86" s="62">
        <f>'Расчет субсидий'!V86-1</f>
        <v>0.15520628683693505</v>
      </c>
      <c r="S86" s="62">
        <f>R86*'Расчет субсидий'!W86</f>
        <v>3.104125736738701</v>
      </c>
      <c r="T86" s="63">
        <f t="shared" si="26"/>
        <v>4.2997370224255071</v>
      </c>
      <c r="U86" s="62">
        <f>'Расчет субсидий'!Z86-1</f>
        <v>0.18888888888888888</v>
      </c>
      <c r="V86" s="62">
        <f>U86*'Расчет субсидий'!AA86</f>
        <v>5.6666666666666661</v>
      </c>
      <c r="W86" s="63">
        <f t="shared" si="27"/>
        <v>7.8492878597147548</v>
      </c>
      <c r="X86" s="62">
        <f t="shared" si="12"/>
        <v>8.7813409266121205</v>
      </c>
    </row>
    <row r="87" spans="1:24" ht="15" customHeight="1">
      <c r="A87" s="36" t="s">
        <v>87</v>
      </c>
      <c r="B87" s="60">
        <f>'Расчет субсидий'!AG87</f>
        <v>0.27272727272726627</v>
      </c>
      <c r="C87" s="62">
        <f>'Расчет субсидий'!D87-1</f>
        <v>-0.25641025641025639</v>
      </c>
      <c r="D87" s="62">
        <f>C87*'Расчет субсидий'!E87</f>
        <v>-2.5641025641025639</v>
      </c>
      <c r="E87" s="63">
        <f t="shared" si="23"/>
        <v>-2.1597840014169942</v>
      </c>
      <c r="F87" s="30" t="s">
        <v>376</v>
      </c>
      <c r="G87" s="30" t="s">
        <v>376</v>
      </c>
      <c r="H87" s="30" t="s">
        <v>376</v>
      </c>
      <c r="I87" s="30" t="s">
        <v>376</v>
      </c>
      <c r="J87" s="30" t="s">
        <v>376</v>
      </c>
      <c r="K87" s="30" t="s">
        <v>376</v>
      </c>
      <c r="L87" s="62">
        <f>'Расчет субсидий'!P87-1</f>
        <v>-0.29913473423980219</v>
      </c>
      <c r="M87" s="62">
        <f>L87*'Расчет субсидий'!Q87</f>
        <v>-5.9826946847960443</v>
      </c>
      <c r="N87" s="63">
        <f t="shared" si="24"/>
        <v>-5.0393180235781436</v>
      </c>
      <c r="O87" s="62">
        <f>'Расчет субсидий'!R87-1</f>
        <v>0</v>
      </c>
      <c r="P87" s="62">
        <f>O87*'Расчет субсидий'!S87</f>
        <v>0</v>
      </c>
      <c r="Q87" s="63">
        <f t="shared" si="25"/>
        <v>0</v>
      </c>
      <c r="R87" s="62">
        <f>'Расчет субсидий'!V87-1</f>
        <v>0.16976007243096403</v>
      </c>
      <c r="S87" s="62">
        <f>R87*'Расчет субсидий'!W87</f>
        <v>5.0928021729289208</v>
      </c>
      <c r="T87" s="63">
        <f t="shared" si="26"/>
        <v>4.2897475356346986</v>
      </c>
      <c r="U87" s="62">
        <f>'Расчет субсидий'!Z87-1</f>
        <v>0.18888888888888888</v>
      </c>
      <c r="V87" s="62">
        <f>U87*'Расчет субсидий'!AA87</f>
        <v>3.7777777777777777</v>
      </c>
      <c r="W87" s="63">
        <f t="shared" si="27"/>
        <v>3.1820817620877047</v>
      </c>
      <c r="X87" s="62">
        <f t="shared" si="12"/>
        <v>0.32378270180809032</v>
      </c>
    </row>
    <row r="88" spans="1:24" ht="15" customHeight="1">
      <c r="A88" s="36" t="s">
        <v>88</v>
      </c>
      <c r="B88" s="60">
        <f>'Расчет субсидий'!AG88</f>
        <v>-2.2545454545454504</v>
      </c>
      <c r="C88" s="62">
        <f>'Расчет субсидий'!D88-1</f>
        <v>-0.625</v>
      </c>
      <c r="D88" s="62">
        <f>C88*'Расчет субсидий'!E88</f>
        <v>-6.25</v>
      </c>
      <c r="E88" s="63">
        <f t="shared" si="23"/>
        <v>-3.4422724209873805</v>
      </c>
      <c r="F88" s="30" t="s">
        <v>376</v>
      </c>
      <c r="G88" s="30" t="s">
        <v>376</v>
      </c>
      <c r="H88" s="30" t="s">
        <v>376</v>
      </c>
      <c r="I88" s="30" t="s">
        <v>376</v>
      </c>
      <c r="J88" s="30" t="s">
        <v>376</v>
      </c>
      <c r="K88" s="30" t="s">
        <v>376</v>
      </c>
      <c r="L88" s="62">
        <f>'Расчет субсидий'!P88-1</f>
        <v>-0.33748701973001038</v>
      </c>
      <c r="M88" s="62">
        <f>L88*'Расчет субсидий'!Q88</f>
        <v>-6.7497403946002077</v>
      </c>
      <c r="N88" s="63">
        <f t="shared" si="24"/>
        <v>-3.7175112334650833</v>
      </c>
      <c r="O88" s="62">
        <f>'Расчет субсидий'!R88-1</f>
        <v>0</v>
      </c>
      <c r="P88" s="62">
        <f>O88*'Расчет субсидий'!S88</f>
        <v>0</v>
      </c>
      <c r="Q88" s="63">
        <f t="shared" si="25"/>
        <v>0</v>
      </c>
      <c r="R88" s="62">
        <f>'Расчет субсидий'!V88-1</f>
        <v>0.15624999999999978</v>
      </c>
      <c r="S88" s="62">
        <f>R88*'Расчет субсидий'!W88</f>
        <v>3.9062499999999947</v>
      </c>
      <c r="T88" s="63">
        <f t="shared" si="26"/>
        <v>2.1514202631171098</v>
      </c>
      <c r="U88" s="62">
        <f>'Расчет субсидий'!Z88-1</f>
        <v>0.19999999999999996</v>
      </c>
      <c r="V88" s="62">
        <f>U88*'Расчет субсидий'!AA88</f>
        <v>4.9999999999999991</v>
      </c>
      <c r="W88" s="63">
        <f t="shared" si="27"/>
        <v>2.7538179367899036</v>
      </c>
      <c r="X88" s="62">
        <f t="shared" si="12"/>
        <v>-4.0934903946002139</v>
      </c>
    </row>
    <row r="89" spans="1:24" ht="15" customHeight="1">
      <c r="A89" s="36" t="s">
        <v>89</v>
      </c>
      <c r="B89" s="60">
        <f>'Расчет субсидий'!AG89</f>
        <v>12.827272727272714</v>
      </c>
      <c r="C89" s="62">
        <f>'Расчет субсидий'!D89-1</f>
        <v>-0.16666666666666663</v>
      </c>
      <c r="D89" s="62">
        <f>C89*'Расчет субсидий'!E89</f>
        <v>-1.6666666666666663</v>
      </c>
      <c r="E89" s="63">
        <f t="shared" si="23"/>
        <v>-2.6223628331439164</v>
      </c>
      <c r="F89" s="30" t="s">
        <v>376</v>
      </c>
      <c r="G89" s="30" t="s">
        <v>376</v>
      </c>
      <c r="H89" s="30" t="s">
        <v>376</v>
      </c>
      <c r="I89" s="30" t="s">
        <v>376</v>
      </c>
      <c r="J89" s="30" t="s">
        <v>376</v>
      </c>
      <c r="K89" s="30" t="s">
        <v>376</v>
      </c>
      <c r="L89" s="62">
        <f>'Расчет субсидий'!P89-1</f>
        <v>8.4291187739463647E-2</v>
      </c>
      <c r="M89" s="62">
        <f>L89*'Расчет субсидий'!Q89</f>
        <v>1.6858237547892729</v>
      </c>
      <c r="N89" s="63">
        <f t="shared" si="24"/>
        <v>2.6525049346743081</v>
      </c>
      <c r="O89" s="62">
        <f>'Расчет субсидий'!R89-1</f>
        <v>0</v>
      </c>
      <c r="P89" s="62">
        <f>O89*'Расчет субсидий'!S89</f>
        <v>0</v>
      </c>
      <c r="Q89" s="63">
        <f t="shared" si="25"/>
        <v>0</v>
      </c>
      <c r="R89" s="62">
        <f>'Расчет субсидий'!V89-1</f>
        <v>0.14200000000000013</v>
      </c>
      <c r="S89" s="62">
        <f>R89*'Расчет субсидий'!W89</f>
        <v>3.5500000000000034</v>
      </c>
      <c r="T89" s="63">
        <f t="shared" si="26"/>
        <v>5.5856328345965487</v>
      </c>
      <c r="U89" s="62">
        <f>'Расчет субсидий'!Z89-1</f>
        <v>0.18333333333333335</v>
      </c>
      <c r="V89" s="62">
        <f>U89*'Расчет субсидий'!AA89</f>
        <v>4.5833333333333339</v>
      </c>
      <c r="W89" s="63">
        <f t="shared" si="27"/>
        <v>7.2114977911457734</v>
      </c>
      <c r="X89" s="62">
        <f t="shared" si="12"/>
        <v>8.1524904214559442</v>
      </c>
    </row>
    <row r="90" spans="1:24" ht="15" customHeight="1">
      <c r="A90" s="36" t="s">
        <v>90</v>
      </c>
      <c r="B90" s="60">
        <f>'Расчет субсидий'!AG90</f>
        <v>12.018181818181802</v>
      </c>
      <c r="C90" s="62">
        <f>'Расчет субсидий'!D90-1</f>
        <v>-0.94178794178794178</v>
      </c>
      <c r="D90" s="62">
        <f>C90*'Расчет субсидий'!E90</f>
        <v>-9.4178794178794174</v>
      </c>
      <c r="E90" s="63">
        <f t="shared" si="23"/>
        <v>-29.120032205795827</v>
      </c>
      <c r="F90" s="30" t="s">
        <v>376</v>
      </c>
      <c r="G90" s="30" t="s">
        <v>376</v>
      </c>
      <c r="H90" s="30" t="s">
        <v>376</v>
      </c>
      <c r="I90" s="30" t="s">
        <v>376</v>
      </c>
      <c r="J90" s="30" t="s">
        <v>376</v>
      </c>
      <c r="K90" s="30" t="s">
        <v>376</v>
      </c>
      <c r="L90" s="62">
        <f>'Расчет субсидий'!P90-1</f>
        <v>0.25365853658536586</v>
      </c>
      <c r="M90" s="62">
        <f>L90*'Расчет субсидий'!Q90</f>
        <v>5.0731707317073171</v>
      </c>
      <c r="N90" s="63">
        <f t="shared" si="24"/>
        <v>15.686216454667855</v>
      </c>
      <c r="O90" s="62">
        <f>'Расчет субсидий'!R90-1</f>
        <v>0</v>
      </c>
      <c r="P90" s="62">
        <f>O90*'Расчет субсидий'!S90</f>
        <v>0</v>
      </c>
      <c r="Q90" s="63">
        <f t="shared" si="25"/>
        <v>0</v>
      </c>
      <c r="R90" s="62">
        <f>'Расчет субсидий'!V90-1</f>
        <v>0.15438596491228074</v>
      </c>
      <c r="S90" s="62">
        <f>R90*'Расчет субсидий'!W90</f>
        <v>4.6315789473684221</v>
      </c>
      <c r="T90" s="63">
        <f t="shared" si="26"/>
        <v>14.320817046670456</v>
      </c>
      <c r="U90" s="62">
        <f>'Расчет субсидий'!Z90-1</f>
        <v>0.18000000000000016</v>
      </c>
      <c r="V90" s="62">
        <f>U90*'Расчет субсидий'!AA90</f>
        <v>3.6000000000000032</v>
      </c>
      <c r="W90" s="63">
        <f t="shared" si="27"/>
        <v>11.131180522639315</v>
      </c>
      <c r="X90" s="62">
        <f t="shared" si="12"/>
        <v>3.8868702611963251</v>
      </c>
    </row>
    <row r="91" spans="1:24" ht="15" customHeight="1">
      <c r="A91" s="35" t="s">
        <v>91</v>
      </c>
      <c r="B91" s="64"/>
      <c r="C91" s="65"/>
      <c r="D91" s="65"/>
      <c r="E91" s="66"/>
      <c r="F91" s="65"/>
      <c r="G91" s="65"/>
      <c r="H91" s="66"/>
      <c r="I91" s="66"/>
      <c r="J91" s="66"/>
      <c r="K91" s="66"/>
      <c r="L91" s="65"/>
      <c r="M91" s="65"/>
      <c r="N91" s="66"/>
      <c r="O91" s="65"/>
      <c r="P91" s="65"/>
      <c r="Q91" s="66"/>
      <c r="R91" s="65"/>
      <c r="S91" s="65"/>
      <c r="T91" s="66"/>
      <c r="U91" s="65"/>
      <c r="V91" s="65"/>
      <c r="W91" s="66"/>
      <c r="X91" s="66"/>
    </row>
    <row r="92" spans="1:24" ht="15" customHeight="1">
      <c r="A92" s="36" t="s">
        <v>92</v>
      </c>
      <c r="B92" s="60">
        <f>'Расчет субсидий'!AG92</f>
        <v>9.4545454545454533</v>
      </c>
      <c r="C92" s="62">
        <f>'Расчет субсидий'!D92-1</f>
        <v>-1</v>
      </c>
      <c r="D92" s="62">
        <f>C92*'Расчет субсидий'!E92</f>
        <v>0</v>
      </c>
      <c r="E92" s="63">
        <f t="shared" ref="E92:E104" si="28">$B92*D92/$X92</f>
        <v>0</v>
      </c>
      <c r="F92" s="30" t="s">
        <v>376</v>
      </c>
      <c r="G92" s="30" t="s">
        <v>376</v>
      </c>
      <c r="H92" s="30" t="s">
        <v>376</v>
      </c>
      <c r="I92" s="30" t="s">
        <v>376</v>
      </c>
      <c r="J92" s="30" t="s">
        <v>376</v>
      </c>
      <c r="K92" s="30" t="s">
        <v>376</v>
      </c>
      <c r="L92" s="62">
        <f>'Расчет субсидий'!P92-1</f>
        <v>0.16071428571428559</v>
      </c>
      <c r="M92" s="62">
        <f>L92*'Расчет субсидий'!Q92</f>
        <v>3.2142857142857117</v>
      </c>
      <c r="N92" s="63">
        <f t="shared" ref="N92:N104" si="29">$B92*M92/$X92</f>
        <v>2.975206611570246</v>
      </c>
      <c r="O92" s="62">
        <f>'Расчет субсидий'!R92-1</f>
        <v>0</v>
      </c>
      <c r="P92" s="62">
        <f>O92*'Расчет субсидий'!S92</f>
        <v>0</v>
      </c>
      <c r="Q92" s="63">
        <f t="shared" ref="Q92:Q104" si="30">$B92*P92/$X92</f>
        <v>0</v>
      </c>
      <c r="R92" s="62">
        <f>'Расчет субсидий'!V92-1</f>
        <v>5.0000000000000044E-2</v>
      </c>
      <c r="S92" s="62">
        <f>R92*'Расчет субсидий'!W92</f>
        <v>1.0000000000000009</v>
      </c>
      <c r="T92" s="63">
        <f t="shared" ref="T92:T104" si="31">$B92*S92/$X92</f>
        <v>0.92561983471074483</v>
      </c>
      <c r="U92" s="62">
        <f>'Расчет субсидий'!Z92-1</f>
        <v>0.19999999999999996</v>
      </c>
      <c r="V92" s="62">
        <f>U92*'Расчет субсидий'!AA92</f>
        <v>5.9999999999999982</v>
      </c>
      <c r="W92" s="63">
        <f t="shared" ref="W92:W104" si="32">$B92*V92/$X92</f>
        <v>5.5537190082644621</v>
      </c>
      <c r="X92" s="62">
        <f t="shared" si="12"/>
        <v>10.214285714285712</v>
      </c>
    </row>
    <row r="93" spans="1:24" ht="15" customHeight="1">
      <c r="A93" s="36" t="s">
        <v>93</v>
      </c>
      <c r="B93" s="60">
        <f>'Расчет субсидий'!AG93</f>
        <v>17.436363636363637</v>
      </c>
      <c r="C93" s="62">
        <f>'Расчет субсидий'!D93-1</f>
        <v>-0.16228947368421054</v>
      </c>
      <c r="D93" s="62">
        <f>C93*'Расчет субсидий'!E93</f>
        <v>-1.6228947368421054</v>
      </c>
      <c r="E93" s="63">
        <f t="shared" si="28"/>
        <v>-7.1775344763073621</v>
      </c>
      <c r="F93" s="30" t="s">
        <v>376</v>
      </c>
      <c r="G93" s="30" t="s">
        <v>376</v>
      </c>
      <c r="H93" s="30" t="s">
        <v>376</v>
      </c>
      <c r="I93" s="30" t="s">
        <v>376</v>
      </c>
      <c r="J93" s="30" t="s">
        <v>376</v>
      </c>
      <c r="K93" s="30" t="s">
        <v>376</v>
      </c>
      <c r="L93" s="62">
        <f>'Расчет субсидий'!P93-1</f>
        <v>-0.23082149894679627</v>
      </c>
      <c r="M93" s="62">
        <f>L93*'Расчет субсидий'!Q93</f>
        <v>-4.6164299789359253</v>
      </c>
      <c r="N93" s="63">
        <f t="shared" si="29"/>
        <v>-20.41696517899004</v>
      </c>
      <c r="O93" s="62">
        <f>'Расчет субсидий'!R93-1</f>
        <v>0</v>
      </c>
      <c r="P93" s="62">
        <f>O93*'Расчет субсидий'!S93</f>
        <v>0</v>
      </c>
      <c r="Q93" s="63">
        <f t="shared" si="30"/>
        <v>0</v>
      </c>
      <c r="R93" s="62">
        <f>'Расчет субсидий'!V93-1</f>
        <v>9.9999999999999867E-2</v>
      </c>
      <c r="S93" s="62">
        <f>R93*'Расчет субсидий'!W93</f>
        <v>1.9999999999999973</v>
      </c>
      <c r="T93" s="63">
        <f t="shared" si="31"/>
        <v>8.8453481465762707</v>
      </c>
      <c r="U93" s="62">
        <f>'Расчет субсидий'!Z93-1</f>
        <v>0.27272727272727249</v>
      </c>
      <c r="V93" s="62">
        <f>U93*'Расчет субсидий'!AA93</f>
        <v>8.1818181818181746</v>
      </c>
      <c r="W93" s="63">
        <f t="shared" si="32"/>
        <v>36.185515145084771</v>
      </c>
      <c r="X93" s="62">
        <f t="shared" si="12"/>
        <v>3.9424934660401414</v>
      </c>
    </row>
    <row r="94" spans="1:24" ht="15" customHeight="1">
      <c r="A94" s="36" t="s">
        <v>94</v>
      </c>
      <c r="B94" s="60">
        <f>'Расчет субсидий'!AG94</f>
        <v>-13.063636363636377</v>
      </c>
      <c r="C94" s="62">
        <f>'Расчет субсидий'!D94-1</f>
        <v>-1</v>
      </c>
      <c r="D94" s="62">
        <f>C94*'Расчет субсидий'!E94</f>
        <v>0</v>
      </c>
      <c r="E94" s="63">
        <f t="shared" si="28"/>
        <v>0</v>
      </c>
      <c r="F94" s="30" t="s">
        <v>376</v>
      </c>
      <c r="G94" s="30" t="s">
        <v>376</v>
      </c>
      <c r="H94" s="30" t="s">
        <v>376</v>
      </c>
      <c r="I94" s="30" t="s">
        <v>376</v>
      </c>
      <c r="J94" s="30" t="s">
        <v>376</v>
      </c>
      <c r="K94" s="30" t="s">
        <v>376</v>
      </c>
      <c r="L94" s="62">
        <f>'Расчет субсидий'!P94-1</f>
        <v>-0.4624746450304259</v>
      </c>
      <c r="M94" s="62">
        <f>L94*'Расчет субсидий'!Q94</f>
        <v>-9.2494929006085176</v>
      </c>
      <c r="N94" s="63">
        <f t="shared" si="29"/>
        <v>-14.647204774571401</v>
      </c>
      <c r="O94" s="62">
        <f>'Расчет субсидий'!R94-1</f>
        <v>0</v>
      </c>
      <c r="P94" s="62">
        <f>O94*'Расчет субсидий'!S94</f>
        <v>0</v>
      </c>
      <c r="Q94" s="63">
        <f t="shared" si="30"/>
        <v>0</v>
      </c>
      <c r="R94" s="62">
        <f>'Расчет субсидий'!V94-1</f>
        <v>5.0000000000000044E-2</v>
      </c>
      <c r="S94" s="62">
        <f>R94*'Расчет субсидий'!W94</f>
        <v>1.0000000000000009</v>
      </c>
      <c r="T94" s="63">
        <f t="shared" si="31"/>
        <v>1.5835684109350241</v>
      </c>
      <c r="U94" s="62">
        <f>'Расчет субсидий'!Z94-1</f>
        <v>0</v>
      </c>
      <c r="V94" s="62">
        <f>U94*'Расчет субсидий'!AA94</f>
        <v>0</v>
      </c>
      <c r="W94" s="63">
        <f t="shared" si="32"/>
        <v>0</v>
      </c>
      <c r="X94" s="62">
        <f t="shared" si="12"/>
        <v>-8.2494929006085158</v>
      </c>
    </row>
    <row r="95" spans="1:24" ht="15" customHeight="1">
      <c r="A95" s="36" t="s">
        <v>95</v>
      </c>
      <c r="B95" s="60">
        <f>'Расчет субсидий'!AG95</f>
        <v>-6.6363636363636331</v>
      </c>
      <c r="C95" s="62">
        <f>'Расчет субсидий'!D95-1</f>
        <v>-1</v>
      </c>
      <c r="D95" s="62">
        <f>C95*'Расчет субсидий'!E95</f>
        <v>0</v>
      </c>
      <c r="E95" s="63">
        <f t="shared" si="28"/>
        <v>0</v>
      </c>
      <c r="F95" s="30" t="s">
        <v>376</v>
      </c>
      <c r="G95" s="30" t="s">
        <v>376</v>
      </c>
      <c r="H95" s="30" t="s">
        <v>376</v>
      </c>
      <c r="I95" s="30" t="s">
        <v>376</v>
      </c>
      <c r="J95" s="30" t="s">
        <v>376</v>
      </c>
      <c r="K95" s="30" t="s">
        <v>376</v>
      </c>
      <c r="L95" s="62">
        <f>'Расчет субсидий'!P95-1</f>
        <v>-0.72655007949125594</v>
      </c>
      <c r="M95" s="62">
        <f>L95*'Расчет субсидий'!Q95</f>
        <v>-14.531001589825118</v>
      </c>
      <c r="N95" s="63">
        <f t="shared" si="29"/>
        <v>-10.484506275010995</v>
      </c>
      <c r="O95" s="62">
        <f>'Расчет субсидий'!R95-1</f>
        <v>0</v>
      </c>
      <c r="P95" s="62">
        <f>O95*'Расчет субсидий'!S95</f>
        <v>0</v>
      </c>
      <c r="Q95" s="63">
        <f t="shared" si="30"/>
        <v>0</v>
      </c>
      <c r="R95" s="62">
        <f>'Расчет субсидий'!V95-1</f>
        <v>6.6666666666666652E-2</v>
      </c>
      <c r="S95" s="62">
        <f>R95*'Расчет субсидий'!W95</f>
        <v>1.333333333333333</v>
      </c>
      <c r="T95" s="63">
        <f t="shared" si="31"/>
        <v>0.96203565966184035</v>
      </c>
      <c r="U95" s="62">
        <f>'Расчет субсидий'!Z95-1</f>
        <v>0.1333333333333333</v>
      </c>
      <c r="V95" s="62">
        <f>U95*'Расчет субсидий'!AA95</f>
        <v>3.9999999999999991</v>
      </c>
      <c r="W95" s="63">
        <f t="shared" si="32"/>
        <v>2.8861069789855209</v>
      </c>
      <c r="X95" s="62">
        <f t="shared" si="12"/>
        <v>-9.1976682564917844</v>
      </c>
    </row>
    <row r="96" spans="1:24" ht="15" customHeight="1">
      <c r="A96" s="36" t="s">
        <v>96</v>
      </c>
      <c r="B96" s="60">
        <f>'Расчет субсидий'!AG96</f>
        <v>-1.5727272727272918</v>
      </c>
      <c r="C96" s="62">
        <f>'Расчет субсидий'!D96-1</f>
        <v>-3.1674208144796379E-2</v>
      </c>
      <c r="D96" s="62">
        <f>C96*'Расчет субсидий'!E96</f>
        <v>-0.31674208144796379</v>
      </c>
      <c r="E96" s="63">
        <f t="shared" si="28"/>
        <v>-0.62690936271005793</v>
      </c>
      <c r="F96" s="30" t="s">
        <v>376</v>
      </c>
      <c r="G96" s="30" t="s">
        <v>376</v>
      </c>
      <c r="H96" s="30" t="s">
        <v>376</v>
      </c>
      <c r="I96" s="30" t="s">
        <v>376</v>
      </c>
      <c r="J96" s="30" t="s">
        <v>376</v>
      </c>
      <c r="K96" s="30" t="s">
        <v>376</v>
      </c>
      <c r="L96" s="62">
        <f>'Расчет субсидий'!P96-1</f>
        <v>-0.46498194945848381</v>
      </c>
      <c r="M96" s="62">
        <f>L96*'Расчет субсидий'!Q96</f>
        <v>-9.2996389891696758</v>
      </c>
      <c r="N96" s="63">
        <f t="shared" si="29"/>
        <v>-18.406239946022961</v>
      </c>
      <c r="O96" s="62">
        <f>'Расчет субсидий'!R96-1</f>
        <v>0</v>
      </c>
      <c r="P96" s="62">
        <f>O96*'Расчет субсидий'!S96</f>
        <v>0</v>
      </c>
      <c r="Q96" s="63">
        <f t="shared" si="30"/>
        <v>0</v>
      </c>
      <c r="R96" s="62">
        <f>'Расчет субсидий'!V96-1</f>
        <v>0.17105263157894735</v>
      </c>
      <c r="S96" s="62">
        <f>R96*'Расчет субсидий'!W96</f>
        <v>4.2763157894736832</v>
      </c>
      <c r="T96" s="63">
        <f t="shared" si="31"/>
        <v>8.4638655971146424</v>
      </c>
      <c r="U96" s="62">
        <f>'Расчет субсидий'!Z96-1</f>
        <v>0.18181818181818166</v>
      </c>
      <c r="V96" s="62">
        <f>U96*'Расчет субсидий'!AA96</f>
        <v>4.5454545454545414</v>
      </c>
      <c r="W96" s="63">
        <f t="shared" si="32"/>
        <v>8.9965564388910835</v>
      </c>
      <c r="X96" s="62">
        <f t="shared" si="12"/>
        <v>-0.79461073568941565</v>
      </c>
    </row>
    <row r="97" spans="1:24" ht="15" customHeight="1">
      <c r="A97" s="36" t="s">
        <v>97</v>
      </c>
      <c r="B97" s="60">
        <f>'Расчет субсидий'!AG97</f>
        <v>-5.4454545454545453</v>
      </c>
      <c r="C97" s="62">
        <f>'Расчет субсидий'!D97-1</f>
        <v>-1</v>
      </c>
      <c r="D97" s="62">
        <f>C97*'Расчет субсидий'!E97</f>
        <v>0</v>
      </c>
      <c r="E97" s="63">
        <f t="shared" si="28"/>
        <v>0</v>
      </c>
      <c r="F97" s="30" t="s">
        <v>376</v>
      </c>
      <c r="G97" s="30" t="s">
        <v>376</v>
      </c>
      <c r="H97" s="30" t="s">
        <v>376</v>
      </c>
      <c r="I97" s="30" t="s">
        <v>376</v>
      </c>
      <c r="J97" s="30" t="s">
        <v>376</v>
      </c>
      <c r="K97" s="30" t="s">
        <v>376</v>
      </c>
      <c r="L97" s="62">
        <f>'Расчет субсидий'!P97-1</f>
        <v>-0.77646025472112434</v>
      </c>
      <c r="M97" s="62">
        <f>L97*'Расчет субсидий'!Q97</f>
        <v>-15.529205094422487</v>
      </c>
      <c r="N97" s="63">
        <f t="shared" si="29"/>
        <v>-9.5416884404000406</v>
      </c>
      <c r="O97" s="62">
        <f>'Расчет субсидий'!R97-1</f>
        <v>0</v>
      </c>
      <c r="P97" s="62">
        <f>O97*'Расчет субсидий'!S97</f>
        <v>0</v>
      </c>
      <c r="Q97" s="63">
        <f t="shared" si="30"/>
        <v>0</v>
      </c>
      <c r="R97" s="62">
        <f>'Расчет субсидий'!V97-1</f>
        <v>0.10000000000000009</v>
      </c>
      <c r="S97" s="62">
        <f>R97*'Расчет субсидий'!W97</f>
        <v>2.5000000000000022</v>
      </c>
      <c r="T97" s="63">
        <f t="shared" si="31"/>
        <v>1.536087710604561</v>
      </c>
      <c r="U97" s="62">
        <f>'Расчет субсидий'!Z97-1</f>
        <v>0.16666666666666674</v>
      </c>
      <c r="V97" s="62">
        <f>U97*'Расчет субсидий'!AA97</f>
        <v>4.1666666666666687</v>
      </c>
      <c r="W97" s="63">
        <f t="shared" si="32"/>
        <v>2.5601461843409341</v>
      </c>
      <c r="X97" s="62">
        <f t="shared" si="12"/>
        <v>-8.8625384277558155</v>
      </c>
    </row>
    <row r="98" spans="1:24" ht="15" customHeight="1">
      <c r="A98" s="36" t="s">
        <v>98</v>
      </c>
      <c r="B98" s="60">
        <f>'Расчет субсидий'!AG98</f>
        <v>12.290909090909082</v>
      </c>
      <c r="C98" s="62">
        <f>'Расчет субсидий'!D98-1</f>
        <v>-3.0069930069930084E-2</v>
      </c>
      <c r="D98" s="62">
        <f>C98*'Расчет субсидий'!E98</f>
        <v>-0.30069930069930084</v>
      </c>
      <c r="E98" s="63">
        <f t="shared" si="28"/>
        <v>-0.62715418707906656</v>
      </c>
      <c r="F98" s="30" t="s">
        <v>376</v>
      </c>
      <c r="G98" s="30" t="s">
        <v>376</v>
      </c>
      <c r="H98" s="30" t="s">
        <v>376</v>
      </c>
      <c r="I98" s="30" t="s">
        <v>376</v>
      </c>
      <c r="J98" s="30" t="s">
        <v>376</v>
      </c>
      <c r="K98" s="30" t="s">
        <v>376</v>
      </c>
      <c r="L98" s="62">
        <f>'Расчет субсидий'!P98-1</f>
        <v>-0.25697786333012518</v>
      </c>
      <c r="M98" s="62">
        <f>L98*'Расчет субсидий'!Q98</f>
        <v>-5.1395572666025036</v>
      </c>
      <c r="N98" s="63">
        <f t="shared" si="29"/>
        <v>-10.719329416418217</v>
      </c>
      <c r="O98" s="62">
        <f>'Расчет субсидий'!R98-1</f>
        <v>0</v>
      </c>
      <c r="P98" s="62">
        <f>O98*'Расчет субсидий'!S98</f>
        <v>0</v>
      </c>
      <c r="Q98" s="63">
        <f t="shared" si="30"/>
        <v>0</v>
      </c>
      <c r="R98" s="62">
        <f>'Расчет субсидий'!V98-1</f>
        <v>6.6666666666666652E-2</v>
      </c>
      <c r="S98" s="62">
        <f>R98*'Расчет субсидий'!W98</f>
        <v>1.333333333333333</v>
      </c>
      <c r="T98" s="63">
        <f t="shared" si="31"/>
        <v>2.780869728753689</v>
      </c>
      <c r="U98" s="62">
        <f>'Расчет субсидий'!Z98-1</f>
        <v>0.33333333333333348</v>
      </c>
      <c r="V98" s="62">
        <f>U98*'Расчет субсидий'!AA98</f>
        <v>10.000000000000004</v>
      </c>
      <c r="W98" s="63">
        <f t="shared" si="32"/>
        <v>20.85652296565268</v>
      </c>
      <c r="X98" s="62">
        <f t="shared" si="12"/>
        <v>5.8930767660315322</v>
      </c>
    </row>
    <row r="99" spans="1:24" ht="15" customHeight="1">
      <c r="A99" s="36" t="s">
        <v>99</v>
      </c>
      <c r="B99" s="60">
        <f>'Расчет субсидий'!AG99</f>
        <v>-10.845454545454547</v>
      </c>
      <c r="C99" s="62">
        <f>'Расчет субсидий'!D99-1</f>
        <v>0.63291139240506333</v>
      </c>
      <c r="D99" s="62">
        <f>C99*'Расчет субсидий'!E99</f>
        <v>6.3291139240506329</v>
      </c>
      <c r="E99" s="63">
        <f t="shared" si="28"/>
        <v>2.4297826992439195</v>
      </c>
      <c r="F99" s="30" t="s">
        <v>376</v>
      </c>
      <c r="G99" s="30" t="s">
        <v>376</v>
      </c>
      <c r="H99" s="30" t="s">
        <v>376</v>
      </c>
      <c r="I99" s="30" t="s">
        <v>376</v>
      </c>
      <c r="J99" s="30" t="s">
        <v>376</v>
      </c>
      <c r="K99" s="30" t="s">
        <v>376</v>
      </c>
      <c r="L99" s="62">
        <f>'Расчет субсидий'!P99-1</f>
        <v>-0.47897125567322241</v>
      </c>
      <c r="M99" s="62">
        <f>L99*'Расчет субсидий'!Q99</f>
        <v>-9.579425113464449</v>
      </c>
      <c r="N99" s="63">
        <f t="shared" si="29"/>
        <v>-3.6775955826849853</v>
      </c>
      <c r="O99" s="62">
        <f>'Расчет субсидий'!R99-1</f>
        <v>0</v>
      </c>
      <c r="P99" s="62">
        <f>O99*'Расчет субсидий'!S99</f>
        <v>0</v>
      </c>
      <c r="Q99" s="63">
        <f t="shared" si="30"/>
        <v>0</v>
      </c>
      <c r="R99" s="62">
        <f>'Расчет субсидий'!V99-1</f>
        <v>0</v>
      </c>
      <c r="S99" s="62">
        <f>R99*'Расчет субсидий'!W99</f>
        <v>0</v>
      </c>
      <c r="T99" s="63">
        <f t="shared" si="31"/>
        <v>0</v>
      </c>
      <c r="U99" s="62">
        <f>'Расчет субсидий'!Z99-1</f>
        <v>-1</v>
      </c>
      <c r="V99" s="62">
        <f>U99*'Расчет субсидий'!AA99</f>
        <v>-25</v>
      </c>
      <c r="W99" s="63">
        <f t="shared" si="32"/>
        <v>-9.5976416620134817</v>
      </c>
      <c r="X99" s="62">
        <f t="shared" si="12"/>
        <v>-28.250311189413814</v>
      </c>
    </row>
    <row r="100" spans="1:24" ht="15" customHeight="1">
      <c r="A100" s="36" t="s">
        <v>100</v>
      </c>
      <c r="B100" s="60">
        <f>'Расчет субсидий'!AG100</f>
        <v>-0.51818181818180165</v>
      </c>
      <c r="C100" s="62">
        <f>'Расчет субсидий'!D100-1</f>
        <v>-0.11111111111111116</v>
      </c>
      <c r="D100" s="62">
        <f>C100*'Расчет субсидий'!E100</f>
        <v>-1.1111111111111116</v>
      </c>
      <c r="E100" s="63">
        <f t="shared" si="28"/>
        <v>-1.5301013295937906</v>
      </c>
      <c r="F100" s="30" t="s">
        <v>376</v>
      </c>
      <c r="G100" s="30" t="s">
        <v>376</v>
      </c>
      <c r="H100" s="30" t="s">
        <v>376</v>
      </c>
      <c r="I100" s="30" t="s">
        <v>376</v>
      </c>
      <c r="J100" s="30" t="s">
        <v>376</v>
      </c>
      <c r="K100" s="30" t="s">
        <v>376</v>
      </c>
      <c r="L100" s="62">
        <f>'Расчет субсидий'!P100-1</f>
        <v>-0.28015820698747518</v>
      </c>
      <c r="M100" s="62">
        <f>L100*'Расчет субсидий'!Q100</f>
        <v>-5.603164139749504</v>
      </c>
      <c r="N100" s="63">
        <f t="shared" si="29"/>
        <v>-7.7160680101466648</v>
      </c>
      <c r="O100" s="62">
        <f>'Расчет субсидий'!R100-1</f>
        <v>0</v>
      </c>
      <c r="P100" s="62">
        <f>O100*'Расчет субсидий'!S100</f>
        <v>0</v>
      </c>
      <c r="Q100" s="63">
        <f t="shared" si="30"/>
        <v>0</v>
      </c>
      <c r="R100" s="62">
        <f>'Расчет субсидий'!V100-1</f>
        <v>9.8347107438016668E-2</v>
      </c>
      <c r="S100" s="62">
        <f>R100*'Расчет субсидий'!W100</f>
        <v>2.4586776859504167</v>
      </c>
      <c r="T100" s="63">
        <f t="shared" si="31"/>
        <v>3.3858233966837843</v>
      </c>
      <c r="U100" s="62">
        <f>'Расчет субсидий'!Z100-1</f>
        <v>0.15517241379310343</v>
      </c>
      <c r="V100" s="62">
        <f>U100*'Расчет субсидий'!AA100</f>
        <v>3.8793103448275854</v>
      </c>
      <c r="W100" s="63">
        <f t="shared" si="32"/>
        <v>5.342164124874869</v>
      </c>
      <c r="X100" s="62">
        <f t="shared" si="12"/>
        <v>-0.37628722008261306</v>
      </c>
    </row>
    <row r="101" spans="1:24" ht="15" customHeight="1">
      <c r="A101" s="36" t="s">
        <v>101</v>
      </c>
      <c r="B101" s="60">
        <f>'Расчет субсидий'!AG101</f>
        <v>18.063636363636363</v>
      </c>
      <c r="C101" s="62">
        <f>'Расчет субсидий'!D101-1</f>
        <v>-1</v>
      </c>
      <c r="D101" s="62">
        <f>C101*'Расчет субсидий'!E101</f>
        <v>0</v>
      </c>
      <c r="E101" s="63">
        <f t="shared" si="28"/>
        <v>0</v>
      </c>
      <c r="F101" s="30" t="s">
        <v>376</v>
      </c>
      <c r="G101" s="30" t="s">
        <v>376</v>
      </c>
      <c r="H101" s="30" t="s">
        <v>376</v>
      </c>
      <c r="I101" s="30" t="s">
        <v>376</v>
      </c>
      <c r="J101" s="30" t="s">
        <v>376</v>
      </c>
      <c r="K101" s="30" t="s">
        <v>376</v>
      </c>
      <c r="L101" s="62">
        <f>'Расчет субсидий'!P101-1</f>
        <v>9.2957746478873116E-2</v>
      </c>
      <c r="M101" s="62">
        <f>L101*'Расчет субсидий'!Q101</f>
        <v>1.8591549295774623</v>
      </c>
      <c r="N101" s="63">
        <f t="shared" si="29"/>
        <v>3.8076337790024062</v>
      </c>
      <c r="O101" s="62">
        <f>'Расчет субсидий'!R101-1</f>
        <v>0</v>
      </c>
      <c r="P101" s="62">
        <f>O101*'Расчет субсидий'!S101</f>
        <v>0</v>
      </c>
      <c r="Q101" s="63">
        <f t="shared" si="30"/>
        <v>0</v>
      </c>
      <c r="R101" s="62">
        <f>'Расчет субсидий'!V101-1</f>
        <v>0.15294117647058836</v>
      </c>
      <c r="S101" s="62">
        <f>R101*'Расчет субсидий'!W101</f>
        <v>2.2941176470588251</v>
      </c>
      <c r="T101" s="63">
        <f t="shared" si="31"/>
        <v>4.6984571898652776</v>
      </c>
      <c r="U101" s="62">
        <f>'Расчет субсидий'!Z101-1</f>
        <v>0.1333333333333333</v>
      </c>
      <c r="V101" s="62">
        <f>U101*'Расчет субсидий'!AA101</f>
        <v>4.6666666666666661</v>
      </c>
      <c r="W101" s="63">
        <f t="shared" si="32"/>
        <v>9.5575453947686775</v>
      </c>
      <c r="X101" s="62">
        <f t="shared" si="12"/>
        <v>8.8199392433029544</v>
      </c>
    </row>
    <row r="102" spans="1:24" ht="15" customHeight="1">
      <c r="A102" s="36" t="s">
        <v>102</v>
      </c>
      <c r="B102" s="60">
        <f>'Расчет субсидий'!AG102</f>
        <v>-5.0090909090909079</v>
      </c>
      <c r="C102" s="62">
        <f>'Расчет субсидий'!D102-1</f>
        <v>-1</v>
      </c>
      <c r="D102" s="62">
        <f>C102*'Расчет субсидий'!E102</f>
        <v>0</v>
      </c>
      <c r="E102" s="63">
        <f t="shared" si="28"/>
        <v>0</v>
      </c>
      <c r="F102" s="30" t="s">
        <v>376</v>
      </c>
      <c r="G102" s="30" t="s">
        <v>376</v>
      </c>
      <c r="H102" s="30" t="s">
        <v>376</v>
      </c>
      <c r="I102" s="30" t="s">
        <v>376</v>
      </c>
      <c r="J102" s="30" t="s">
        <v>376</v>
      </c>
      <c r="K102" s="30" t="s">
        <v>376</v>
      </c>
      <c r="L102" s="62">
        <f>'Расчет субсидий'!P102-1</f>
        <v>-0.43792581377744133</v>
      </c>
      <c r="M102" s="62">
        <f>L102*'Расчет субсидий'!Q102</f>
        <v>-8.7585162755488266</v>
      </c>
      <c r="N102" s="63">
        <f t="shared" si="29"/>
        <v>-6.4384710552524149</v>
      </c>
      <c r="O102" s="62">
        <f>'Расчет субсидий'!R102-1</f>
        <v>0</v>
      </c>
      <c r="P102" s="62">
        <f>O102*'Расчет субсидий'!S102</f>
        <v>0</v>
      </c>
      <c r="Q102" s="63">
        <f t="shared" si="30"/>
        <v>0</v>
      </c>
      <c r="R102" s="62">
        <f>'Расчет субсидий'!V102-1</f>
        <v>5.0000000000000044E-2</v>
      </c>
      <c r="S102" s="62">
        <f>R102*'Расчет субсидий'!W102</f>
        <v>1.5000000000000013</v>
      </c>
      <c r="T102" s="63">
        <f t="shared" si="31"/>
        <v>1.1026646841817349</v>
      </c>
      <c r="U102" s="62">
        <f>'Расчет субсидий'!Z102-1</f>
        <v>2.2222222222222143E-2</v>
      </c>
      <c r="V102" s="62">
        <f>U102*'Расчет субсидий'!AA102</f>
        <v>0.44444444444444287</v>
      </c>
      <c r="W102" s="63">
        <f t="shared" si="32"/>
        <v>0.32671546197977186</v>
      </c>
      <c r="X102" s="62">
        <f t="shared" si="12"/>
        <v>-6.814071831104382</v>
      </c>
    </row>
    <row r="103" spans="1:24" ht="15" customHeight="1">
      <c r="A103" s="36" t="s">
        <v>103</v>
      </c>
      <c r="B103" s="60">
        <f>'Расчет субсидий'!AG103</f>
        <v>18.290909090909096</v>
      </c>
      <c r="C103" s="62">
        <f>'Расчет субсидий'!D103-1</f>
        <v>-1</v>
      </c>
      <c r="D103" s="62">
        <f>C103*'Расчет субсидий'!E103</f>
        <v>0</v>
      </c>
      <c r="E103" s="63">
        <f t="shared" si="28"/>
        <v>0</v>
      </c>
      <c r="F103" s="30" t="s">
        <v>376</v>
      </c>
      <c r="G103" s="30" t="s">
        <v>376</v>
      </c>
      <c r="H103" s="30" t="s">
        <v>376</v>
      </c>
      <c r="I103" s="30" t="s">
        <v>376</v>
      </c>
      <c r="J103" s="30" t="s">
        <v>376</v>
      </c>
      <c r="K103" s="30" t="s">
        <v>376</v>
      </c>
      <c r="L103" s="62">
        <f>'Расчет субсидий'!P103-1</f>
        <v>1.6123778501628667</v>
      </c>
      <c r="M103" s="62">
        <f>L103*'Расчет субсидий'!Q103</f>
        <v>32.247557003257334</v>
      </c>
      <c r="N103" s="63">
        <f t="shared" si="29"/>
        <v>15.010420942937445</v>
      </c>
      <c r="O103" s="62">
        <f>'Расчет субсидий'!R103-1</f>
        <v>0</v>
      </c>
      <c r="P103" s="62">
        <f>O103*'Расчет субсидий'!S103</f>
        <v>0</v>
      </c>
      <c r="Q103" s="63">
        <f t="shared" si="30"/>
        <v>0</v>
      </c>
      <c r="R103" s="62">
        <f>'Расчет субсидий'!V103-1</f>
        <v>5.2380952380952417E-2</v>
      </c>
      <c r="S103" s="62">
        <f>R103*'Расчет субсидий'!W103</f>
        <v>1.0476190476190483</v>
      </c>
      <c r="T103" s="63">
        <f t="shared" si="31"/>
        <v>0.48764013010389395</v>
      </c>
      <c r="U103" s="62">
        <f>'Расчет субсидий'!Z103-1</f>
        <v>0.19999999999999996</v>
      </c>
      <c r="V103" s="62">
        <f>U103*'Расчет субсидий'!AA103</f>
        <v>5.9999999999999982</v>
      </c>
      <c r="W103" s="63">
        <f t="shared" si="32"/>
        <v>2.7928480178677542</v>
      </c>
      <c r="X103" s="62">
        <f t="shared" si="12"/>
        <v>39.295176050876385</v>
      </c>
    </row>
    <row r="104" spans="1:24" ht="15" customHeight="1">
      <c r="A104" s="36" t="s">
        <v>104</v>
      </c>
      <c r="B104" s="60">
        <f>'Расчет субсидий'!AG104</f>
        <v>-0.58181818181817846</v>
      </c>
      <c r="C104" s="62">
        <f>'Расчет субсидий'!D104-1</f>
        <v>-1</v>
      </c>
      <c r="D104" s="62">
        <f>C104*'Расчет субсидий'!E104</f>
        <v>0</v>
      </c>
      <c r="E104" s="63">
        <f t="shared" si="28"/>
        <v>0</v>
      </c>
      <c r="F104" s="30" t="s">
        <v>376</v>
      </c>
      <c r="G104" s="30" t="s">
        <v>376</v>
      </c>
      <c r="H104" s="30" t="s">
        <v>376</v>
      </c>
      <c r="I104" s="30" t="s">
        <v>376</v>
      </c>
      <c r="J104" s="30" t="s">
        <v>376</v>
      </c>
      <c r="K104" s="30" t="s">
        <v>376</v>
      </c>
      <c r="L104" s="62">
        <f>'Расчет субсидий'!P104-1</f>
        <v>-0.1205357142857143</v>
      </c>
      <c r="M104" s="62">
        <f>L104*'Расчет субсидий'!Q104</f>
        <v>-2.410714285714286</v>
      </c>
      <c r="N104" s="63">
        <f t="shared" si="29"/>
        <v>-1.5401069518716508</v>
      </c>
      <c r="O104" s="62">
        <f>'Расчет субсидий'!R104-1</f>
        <v>0</v>
      </c>
      <c r="P104" s="62">
        <f>O104*'Расчет субсидий'!S104</f>
        <v>0</v>
      </c>
      <c r="Q104" s="63">
        <f t="shared" si="30"/>
        <v>0</v>
      </c>
      <c r="R104" s="62">
        <f>'Расчет субсидий'!V104-1</f>
        <v>0.10000000000000009</v>
      </c>
      <c r="S104" s="62">
        <f>R104*'Расчет субсидий'!W104</f>
        <v>1.5000000000000013</v>
      </c>
      <c r="T104" s="63">
        <f t="shared" si="31"/>
        <v>0.95828877005347235</v>
      </c>
      <c r="U104" s="62">
        <f>'Расчет субсидий'!Z104-1</f>
        <v>0</v>
      </c>
      <c r="V104" s="62">
        <f>U104*'Расчет субсидий'!AA104</f>
        <v>0</v>
      </c>
      <c r="W104" s="63">
        <f t="shared" si="32"/>
        <v>0</v>
      </c>
      <c r="X104" s="62">
        <f t="shared" si="12"/>
        <v>-0.9107142857142847</v>
      </c>
    </row>
    <row r="105" spans="1:24" ht="15" customHeight="1">
      <c r="A105" s="35" t="s">
        <v>105</v>
      </c>
      <c r="B105" s="64"/>
      <c r="C105" s="65"/>
      <c r="D105" s="65"/>
      <c r="E105" s="66"/>
      <c r="F105" s="65"/>
      <c r="G105" s="65"/>
      <c r="H105" s="66"/>
      <c r="I105" s="66"/>
      <c r="J105" s="66"/>
      <c r="K105" s="66"/>
      <c r="L105" s="65"/>
      <c r="M105" s="65"/>
      <c r="N105" s="66"/>
      <c r="O105" s="65"/>
      <c r="P105" s="65"/>
      <c r="Q105" s="66"/>
      <c r="R105" s="65"/>
      <c r="S105" s="65"/>
      <c r="T105" s="66"/>
      <c r="U105" s="65"/>
      <c r="V105" s="65"/>
      <c r="W105" s="66"/>
      <c r="X105" s="66"/>
    </row>
    <row r="106" spans="1:24" ht="15" customHeight="1">
      <c r="A106" s="36" t="s">
        <v>106</v>
      </c>
      <c r="B106" s="60">
        <f>'Расчет субсидий'!AG106</f>
        <v>56.681818181818187</v>
      </c>
      <c r="C106" s="62">
        <f>'Расчет субсидий'!D106-1</f>
        <v>-0.22857954545454551</v>
      </c>
      <c r="D106" s="62">
        <f>C106*'Расчет субсидий'!E106</f>
        <v>-2.2857954545454549</v>
      </c>
      <c r="E106" s="63">
        <f t="shared" ref="E106:E120" si="33">$B106*D106/$X106</f>
        <v>-1.2443751835756032</v>
      </c>
      <c r="F106" s="30" t="s">
        <v>376</v>
      </c>
      <c r="G106" s="30" t="s">
        <v>376</v>
      </c>
      <c r="H106" s="30" t="s">
        <v>376</v>
      </c>
      <c r="I106" s="30" t="s">
        <v>376</v>
      </c>
      <c r="J106" s="30" t="s">
        <v>376</v>
      </c>
      <c r="K106" s="30" t="s">
        <v>376</v>
      </c>
      <c r="L106" s="62">
        <f>'Расчет субсидий'!P106-1</f>
        <v>0.29023746701846953</v>
      </c>
      <c r="M106" s="62">
        <f>L106*'Расчет субсидий'!Q106</f>
        <v>5.8047493403693906</v>
      </c>
      <c r="N106" s="63">
        <f t="shared" ref="N106:N120" si="34">$B106*M106/$X106</f>
        <v>3.1600754178019481</v>
      </c>
      <c r="O106" s="62">
        <f>'Расчет субсидий'!R106-1</f>
        <v>0</v>
      </c>
      <c r="P106" s="62">
        <f>O106*'Расчет субсидий'!S106</f>
        <v>0</v>
      </c>
      <c r="Q106" s="63">
        <f t="shared" ref="Q106:Q120" si="35">$B106*P106/$X106</f>
        <v>0</v>
      </c>
      <c r="R106" s="62">
        <f>'Расчет субсидий'!V106-1</f>
        <v>4.0200000000000005</v>
      </c>
      <c r="S106" s="62">
        <f>R106*'Расчет субсидий'!W106</f>
        <v>120.60000000000001</v>
      </c>
      <c r="T106" s="63">
        <f t="shared" ref="T106:T120" si="36">$B106*S106/$X106</f>
        <v>65.654014159836748</v>
      </c>
      <c r="U106" s="62">
        <f>'Расчет субсидий'!Z106-1</f>
        <v>-1</v>
      </c>
      <c r="V106" s="62">
        <f>U106*'Расчет субсидий'!AA106</f>
        <v>-20</v>
      </c>
      <c r="W106" s="63">
        <f t="shared" ref="W106:W120" si="37">$B106*V106/$X106</f>
        <v>-10.887896212244899</v>
      </c>
      <c r="X106" s="62">
        <f t="shared" si="12"/>
        <v>104.11895388582394</v>
      </c>
    </row>
    <row r="107" spans="1:24" ht="15" customHeight="1">
      <c r="A107" s="36" t="s">
        <v>107</v>
      </c>
      <c r="B107" s="60">
        <f>'Расчет субсидий'!AG107</f>
        <v>28.327272727272714</v>
      </c>
      <c r="C107" s="62">
        <f>'Расчет субсидий'!D107-1</f>
        <v>-1</v>
      </c>
      <c r="D107" s="62">
        <f>C107*'Расчет субсидий'!E107</f>
        <v>0</v>
      </c>
      <c r="E107" s="63">
        <f t="shared" si="33"/>
        <v>0</v>
      </c>
      <c r="F107" s="30" t="s">
        <v>376</v>
      </c>
      <c r="G107" s="30" t="s">
        <v>376</v>
      </c>
      <c r="H107" s="30" t="s">
        <v>376</v>
      </c>
      <c r="I107" s="30" t="s">
        <v>376</v>
      </c>
      <c r="J107" s="30" t="s">
        <v>376</v>
      </c>
      <c r="K107" s="30" t="s">
        <v>376</v>
      </c>
      <c r="L107" s="62">
        <f>'Расчет субсидий'!P107-1</f>
        <v>0.33046471600688454</v>
      </c>
      <c r="M107" s="62">
        <f>L107*'Расчет субсидий'!Q107</f>
        <v>6.6092943201376908</v>
      </c>
      <c r="N107" s="63">
        <f t="shared" si="34"/>
        <v>13.302236219961799</v>
      </c>
      <c r="O107" s="62">
        <f>'Расчет субсидий'!R107-1</f>
        <v>0</v>
      </c>
      <c r="P107" s="62">
        <f>O107*'Расчет субсидий'!S107</f>
        <v>0</v>
      </c>
      <c r="Q107" s="63">
        <f t="shared" si="35"/>
        <v>0</v>
      </c>
      <c r="R107" s="62">
        <f>'Расчет субсидий'!V107-1</f>
        <v>7.7777777777777724E-2</v>
      </c>
      <c r="S107" s="62">
        <f>R107*'Расчет субсидий'!W107</f>
        <v>1.9444444444444431</v>
      </c>
      <c r="T107" s="63">
        <f t="shared" si="36"/>
        <v>3.9134978809740031</v>
      </c>
      <c r="U107" s="62">
        <f>'Расчет субсидий'!Z107-1</f>
        <v>0.22083333333333344</v>
      </c>
      <c r="V107" s="62">
        <f>U107*'Расчет субсидий'!AA107</f>
        <v>5.5208333333333357</v>
      </c>
      <c r="W107" s="63">
        <f t="shared" si="37"/>
        <v>11.111538626336912</v>
      </c>
      <c r="X107" s="62">
        <f t="shared" si="12"/>
        <v>14.074572097915469</v>
      </c>
    </row>
    <row r="108" spans="1:24" ht="15" customHeight="1">
      <c r="A108" s="36" t="s">
        <v>108</v>
      </c>
      <c r="B108" s="60">
        <f>'Расчет субсидий'!AG108</f>
        <v>63.427272727272737</v>
      </c>
      <c r="C108" s="62">
        <f>'Расчет субсидий'!D108-1</f>
        <v>-1</v>
      </c>
      <c r="D108" s="62">
        <f>C108*'Расчет субсидий'!E108</f>
        <v>0</v>
      </c>
      <c r="E108" s="63">
        <f t="shared" si="33"/>
        <v>0</v>
      </c>
      <c r="F108" s="30" t="s">
        <v>376</v>
      </c>
      <c r="G108" s="30" t="s">
        <v>376</v>
      </c>
      <c r="H108" s="30" t="s">
        <v>376</v>
      </c>
      <c r="I108" s="30" t="s">
        <v>376</v>
      </c>
      <c r="J108" s="30" t="s">
        <v>376</v>
      </c>
      <c r="K108" s="30" t="s">
        <v>376</v>
      </c>
      <c r="L108" s="62">
        <f>'Расчет субсидий'!P108-1</f>
        <v>0.72049626790397436</v>
      </c>
      <c r="M108" s="62">
        <f>L108*'Расчет субсидий'!Q108</f>
        <v>14.409925358079487</v>
      </c>
      <c r="N108" s="63">
        <f t="shared" si="34"/>
        <v>56.124436899128582</v>
      </c>
      <c r="O108" s="62">
        <f>'Расчет субсидий'!R108-1</f>
        <v>0</v>
      </c>
      <c r="P108" s="62">
        <f>O108*'Расчет субсидий'!S108</f>
        <v>0</v>
      </c>
      <c r="Q108" s="63">
        <f t="shared" si="35"/>
        <v>0</v>
      </c>
      <c r="R108" s="62">
        <f>'Расчет субсидий'!V108-1</f>
        <v>-0.97499999999999998</v>
      </c>
      <c r="S108" s="62">
        <f>R108*'Расчет субсидий'!W108</f>
        <v>-24.375</v>
      </c>
      <c r="T108" s="63">
        <f t="shared" si="36"/>
        <v>-94.936865765874217</v>
      </c>
      <c r="U108" s="62">
        <f>'Расчет субсидий'!Z108-1</f>
        <v>1.0499999999999998</v>
      </c>
      <c r="V108" s="62">
        <f>U108*'Расчет субсидий'!AA108</f>
        <v>26.249999999999996</v>
      </c>
      <c r="W108" s="63">
        <f t="shared" si="37"/>
        <v>102.23970159401836</v>
      </c>
      <c r="X108" s="62">
        <f t="shared" si="12"/>
        <v>16.284925358079484</v>
      </c>
    </row>
    <row r="109" spans="1:24" ht="15" customHeight="1">
      <c r="A109" s="36" t="s">
        <v>109</v>
      </c>
      <c r="B109" s="60">
        <f>'Расчет субсидий'!AG109</f>
        <v>64.199999999999989</v>
      </c>
      <c r="C109" s="62">
        <f>'Расчет субсидий'!D109-1</f>
        <v>8.6129999999999995</v>
      </c>
      <c r="D109" s="62">
        <f>C109*'Расчет субсидий'!E109</f>
        <v>86.13</v>
      </c>
      <c r="E109" s="63">
        <f t="shared" si="33"/>
        <v>27.91552821391403</v>
      </c>
      <c r="F109" s="30" t="s">
        <v>376</v>
      </c>
      <c r="G109" s="30" t="s">
        <v>376</v>
      </c>
      <c r="H109" s="30" t="s">
        <v>376</v>
      </c>
      <c r="I109" s="30" t="s">
        <v>376</v>
      </c>
      <c r="J109" s="30" t="s">
        <v>376</v>
      </c>
      <c r="K109" s="30" t="s">
        <v>376</v>
      </c>
      <c r="L109" s="62">
        <f>'Расчет субсидий'!P109-1</f>
        <v>4.503818369453044</v>
      </c>
      <c r="M109" s="62">
        <f>L109*'Расчет субсидий'!Q109</f>
        <v>90.076367389060877</v>
      </c>
      <c r="N109" s="63">
        <f t="shared" si="34"/>
        <v>29.194582320401889</v>
      </c>
      <c r="O109" s="62">
        <f>'Расчет субсидий'!R109-1</f>
        <v>0</v>
      </c>
      <c r="P109" s="62">
        <f>O109*'Расчет субсидий'!S109</f>
        <v>0</v>
      </c>
      <c r="Q109" s="63">
        <f t="shared" si="35"/>
        <v>0</v>
      </c>
      <c r="R109" s="62">
        <f>'Расчет субсидий'!V109-1</f>
        <v>-0.5</v>
      </c>
      <c r="S109" s="62">
        <f>R109*'Расчет субсидий'!W109</f>
        <v>-10</v>
      </c>
      <c r="T109" s="63">
        <f t="shared" si="36"/>
        <v>-3.2410923271698633</v>
      </c>
      <c r="U109" s="62">
        <f>'Расчет субсидий'!Z109-1</f>
        <v>1.0624999999999996</v>
      </c>
      <c r="V109" s="62">
        <f>U109*'Расчет субсидий'!AA109</f>
        <v>31.874999999999986</v>
      </c>
      <c r="W109" s="63">
        <f t="shared" si="37"/>
        <v>10.330981792853933</v>
      </c>
      <c r="X109" s="62">
        <f t="shared" si="12"/>
        <v>198.08136738906086</v>
      </c>
    </row>
    <row r="110" spans="1:24" ht="15" customHeight="1">
      <c r="A110" s="36" t="s">
        <v>110</v>
      </c>
      <c r="B110" s="60">
        <f>'Расчет субсидий'!AG110</f>
        <v>-6.1181818181818244</v>
      </c>
      <c r="C110" s="62">
        <f>'Расчет субсидий'!D110-1</f>
        <v>-1</v>
      </c>
      <c r="D110" s="62">
        <f>C110*'Расчет субсидий'!E110</f>
        <v>0</v>
      </c>
      <c r="E110" s="63">
        <f t="shared" si="33"/>
        <v>0</v>
      </c>
      <c r="F110" s="30" t="s">
        <v>376</v>
      </c>
      <c r="G110" s="30" t="s">
        <v>376</v>
      </c>
      <c r="H110" s="30" t="s">
        <v>376</v>
      </c>
      <c r="I110" s="30" t="s">
        <v>376</v>
      </c>
      <c r="J110" s="30" t="s">
        <v>376</v>
      </c>
      <c r="K110" s="30" t="s">
        <v>376</v>
      </c>
      <c r="L110" s="62">
        <f>'Расчет субсидий'!P110-1</f>
        <v>-0.25498543580551203</v>
      </c>
      <c r="M110" s="62">
        <f>L110*'Расчет субсидий'!Q110</f>
        <v>-5.099708716110241</v>
      </c>
      <c r="N110" s="63">
        <f t="shared" si="34"/>
        <v>-8.3325941477430732</v>
      </c>
      <c r="O110" s="62">
        <f>'Расчет субсидий'!R110-1</f>
        <v>0</v>
      </c>
      <c r="P110" s="62">
        <f>O110*'Расчет субсидий'!S110</f>
        <v>0</v>
      </c>
      <c r="Q110" s="63">
        <f t="shared" si="35"/>
        <v>0</v>
      </c>
      <c r="R110" s="62">
        <f>'Расчет субсидий'!V110-1</f>
        <v>5.4210526315789487E-2</v>
      </c>
      <c r="S110" s="62">
        <f>R110*'Расчет субсидий'!W110</f>
        <v>1.3552631578947372</v>
      </c>
      <c r="T110" s="63">
        <f t="shared" si="36"/>
        <v>2.2144123295612483</v>
      </c>
      <c r="U110" s="62">
        <f>'Расчет субсидий'!Z110-1</f>
        <v>0</v>
      </c>
      <c r="V110" s="62">
        <f>U110*'Расчет субсидий'!AA110</f>
        <v>0</v>
      </c>
      <c r="W110" s="63">
        <f t="shared" si="37"/>
        <v>0</v>
      </c>
      <c r="X110" s="62">
        <f t="shared" si="12"/>
        <v>-3.7444455582155038</v>
      </c>
    </row>
    <row r="111" spans="1:24" ht="15" customHeight="1">
      <c r="A111" s="36" t="s">
        <v>111</v>
      </c>
      <c r="B111" s="60">
        <f>'Расчет субсидий'!AG111</f>
        <v>104.25454545454539</v>
      </c>
      <c r="C111" s="62">
        <f>'Расчет субсидий'!D111-1</f>
        <v>0.34798708552017499</v>
      </c>
      <c r="D111" s="62">
        <f>C111*'Расчет субсидий'!E111</f>
        <v>3.4798708552017499</v>
      </c>
      <c r="E111" s="63">
        <f t="shared" si="33"/>
        <v>5.3922222897742982</v>
      </c>
      <c r="F111" s="30" t="s">
        <v>376</v>
      </c>
      <c r="G111" s="30" t="s">
        <v>376</v>
      </c>
      <c r="H111" s="30" t="s">
        <v>376</v>
      </c>
      <c r="I111" s="30" t="s">
        <v>376</v>
      </c>
      <c r="J111" s="30" t="s">
        <v>376</v>
      </c>
      <c r="K111" s="30" t="s">
        <v>376</v>
      </c>
      <c r="L111" s="62">
        <f>'Расчет субсидий'!P111-1</f>
        <v>2.6900401965163021</v>
      </c>
      <c r="M111" s="62">
        <f>L111*'Расчет субсидий'!Q111</f>
        <v>53.80080393032604</v>
      </c>
      <c r="N111" s="63">
        <f t="shared" si="34"/>
        <v>83.366856481822381</v>
      </c>
      <c r="O111" s="62">
        <f>'Расчет субсидий'!R111-1</f>
        <v>0</v>
      </c>
      <c r="P111" s="62">
        <f>O111*'Расчет субсидий'!S111</f>
        <v>0</v>
      </c>
      <c r="Q111" s="63">
        <f t="shared" si="35"/>
        <v>0</v>
      </c>
      <c r="R111" s="62">
        <f>'Расчет субсидий'!V111-1</f>
        <v>0.33333333333333326</v>
      </c>
      <c r="S111" s="62">
        <f>R111*'Расчет субсидий'!W111</f>
        <v>9.9999999999999982</v>
      </c>
      <c r="T111" s="63">
        <f t="shared" si="36"/>
        <v>15.495466682948718</v>
      </c>
      <c r="U111" s="62">
        <f>'Расчет субсидий'!Z111-1</f>
        <v>0</v>
      </c>
      <c r="V111" s="62">
        <f>U111*'Расчет субсидий'!AA111</f>
        <v>0</v>
      </c>
      <c r="W111" s="63">
        <f t="shared" si="37"/>
        <v>0</v>
      </c>
      <c r="X111" s="62">
        <f t="shared" si="12"/>
        <v>67.280674785527793</v>
      </c>
    </row>
    <row r="112" spans="1:24" ht="15" customHeight="1">
      <c r="A112" s="36" t="s">
        <v>112</v>
      </c>
      <c r="B112" s="60">
        <f>'Расчет субсидий'!AG112</f>
        <v>121.79999999999995</v>
      </c>
      <c r="C112" s="62">
        <f>'Расчет субсидий'!D112-1</f>
        <v>-1</v>
      </c>
      <c r="D112" s="62">
        <f>C112*'Расчет субсидий'!E112</f>
        <v>0</v>
      </c>
      <c r="E112" s="63">
        <f t="shared" si="33"/>
        <v>0</v>
      </c>
      <c r="F112" s="30" t="s">
        <v>376</v>
      </c>
      <c r="G112" s="30" t="s">
        <v>376</v>
      </c>
      <c r="H112" s="30" t="s">
        <v>376</v>
      </c>
      <c r="I112" s="30" t="s">
        <v>376</v>
      </c>
      <c r="J112" s="30" t="s">
        <v>376</v>
      </c>
      <c r="K112" s="30" t="s">
        <v>376</v>
      </c>
      <c r="L112" s="62">
        <f>'Расчет субсидий'!P112-1</f>
        <v>2.8453177257525084</v>
      </c>
      <c r="M112" s="62">
        <f>L112*'Расчет субсидий'!Q112</f>
        <v>56.906354515050168</v>
      </c>
      <c r="N112" s="63">
        <f t="shared" si="34"/>
        <v>105.17395865337907</v>
      </c>
      <c r="O112" s="62">
        <f>'Расчет субсидий'!R112-1</f>
        <v>0</v>
      </c>
      <c r="P112" s="62">
        <f>O112*'Расчет субсидий'!S112</f>
        <v>0</v>
      </c>
      <c r="Q112" s="63">
        <f t="shared" si="35"/>
        <v>0</v>
      </c>
      <c r="R112" s="62">
        <f>'Расчет субсидий'!V112-1</f>
        <v>0.12166666666666659</v>
      </c>
      <c r="S112" s="62">
        <f>R112*'Расчет субсидий'!W112</f>
        <v>2.4333333333333318</v>
      </c>
      <c r="T112" s="63">
        <f t="shared" si="36"/>
        <v>4.4972710265986944</v>
      </c>
      <c r="U112" s="62">
        <f>'Расчет субсидий'!Z112-1</f>
        <v>0.21875</v>
      </c>
      <c r="V112" s="62">
        <f>U112*'Расчет субсидий'!AA112</f>
        <v>6.5625</v>
      </c>
      <c r="W112" s="63">
        <f t="shared" si="37"/>
        <v>12.128770320022172</v>
      </c>
      <c r="X112" s="62">
        <f t="shared" ref="X112:X175" si="38">D112+M112+P112+S112+V112</f>
        <v>65.902187848383505</v>
      </c>
    </row>
    <row r="113" spans="1:24" ht="15" customHeight="1">
      <c r="A113" s="36" t="s">
        <v>113</v>
      </c>
      <c r="B113" s="60">
        <f>'Расчет субсидий'!AG113</f>
        <v>41.109090909090895</v>
      </c>
      <c r="C113" s="62">
        <f>'Расчет субсидий'!D113-1</f>
        <v>-1</v>
      </c>
      <c r="D113" s="62">
        <f>C113*'Расчет субсидий'!E113</f>
        <v>0</v>
      </c>
      <c r="E113" s="63">
        <f t="shared" si="33"/>
        <v>0</v>
      </c>
      <c r="F113" s="30" t="s">
        <v>376</v>
      </c>
      <c r="G113" s="30" t="s">
        <v>376</v>
      </c>
      <c r="H113" s="30" t="s">
        <v>376</v>
      </c>
      <c r="I113" s="30" t="s">
        <v>376</v>
      </c>
      <c r="J113" s="30" t="s">
        <v>376</v>
      </c>
      <c r="K113" s="30" t="s">
        <v>376</v>
      </c>
      <c r="L113" s="62">
        <f>'Расчет субсидий'!P113-1</f>
        <v>-0.70867910853415472</v>
      </c>
      <c r="M113" s="62">
        <f>L113*'Расчет субсидий'!Q113</f>
        <v>-14.173582170683094</v>
      </c>
      <c r="N113" s="63">
        <f t="shared" si="34"/>
        <v>-23.006138566015927</v>
      </c>
      <c r="O113" s="62">
        <f>'Расчет субсидий'!R113-1</f>
        <v>0</v>
      </c>
      <c r="P113" s="62">
        <f>O113*'Расчет субсидий'!S113</f>
        <v>0</v>
      </c>
      <c r="Q113" s="63">
        <f t="shared" si="35"/>
        <v>0</v>
      </c>
      <c r="R113" s="62">
        <f>'Расчет субсидий'!V113-1</f>
        <v>0.20000000000000018</v>
      </c>
      <c r="S113" s="62">
        <f>R113*'Расчет субсидий'!W113</f>
        <v>5.0000000000000044</v>
      </c>
      <c r="T113" s="63">
        <f t="shared" si="36"/>
        <v>8.1158518322920088</v>
      </c>
      <c r="U113" s="62">
        <f>'Расчет субсидий'!Z113-1</f>
        <v>1.38</v>
      </c>
      <c r="V113" s="62">
        <f>U113*'Расчет субсидий'!AA113</f>
        <v>34.5</v>
      </c>
      <c r="W113" s="63">
        <f t="shared" si="37"/>
        <v>55.999377642814814</v>
      </c>
      <c r="X113" s="62">
        <f t="shared" si="38"/>
        <v>25.32641782931691</v>
      </c>
    </row>
    <row r="114" spans="1:24" ht="15" customHeight="1">
      <c r="A114" s="36" t="s">
        <v>114</v>
      </c>
      <c r="B114" s="60">
        <f>'Расчет субсидий'!AG114</f>
        <v>71.699999999999989</v>
      </c>
      <c r="C114" s="62">
        <f>'Расчет субсидий'!D114-1</f>
        <v>1.1974206349206349</v>
      </c>
      <c r="D114" s="62">
        <f>C114*'Расчет субсидий'!E114</f>
        <v>11.974206349206348</v>
      </c>
      <c r="E114" s="63">
        <f t="shared" si="33"/>
        <v>2.4257979405940469</v>
      </c>
      <c r="F114" s="30" t="s">
        <v>376</v>
      </c>
      <c r="G114" s="30" t="s">
        <v>376</v>
      </c>
      <c r="H114" s="30" t="s">
        <v>376</v>
      </c>
      <c r="I114" s="30" t="s">
        <v>376</v>
      </c>
      <c r="J114" s="30" t="s">
        <v>376</v>
      </c>
      <c r="K114" s="30" t="s">
        <v>376</v>
      </c>
      <c r="L114" s="62">
        <f>'Расчет субсидий'!P114-1</f>
        <v>-0.71357021014045663</v>
      </c>
      <c r="M114" s="62">
        <f>L114*'Расчет субсидий'!Q114</f>
        <v>-14.271404202809133</v>
      </c>
      <c r="N114" s="63">
        <f t="shared" si="34"/>
        <v>-2.8911764099383683</v>
      </c>
      <c r="O114" s="62">
        <f>'Расчет субсидий'!R114-1</f>
        <v>0</v>
      </c>
      <c r="P114" s="62">
        <f>O114*'Расчет субсидий'!S114</f>
        <v>0</v>
      </c>
      <c r="Q114" s="63">
        <f t="shared" si="35"/>
        <v>0</v>
      </c>
      <c r="R114" s="62">
        <f>'Расчет субсидий'!V114-1</f>
        <v>-0.18888888888888888</v>
      </c>
      <c r="S114" s="62">
        <f>R114*'Расчет субсидий'!W114</f>
        <v>-3.7777777777777777</v>
      </c>
      <c r="T114" s="63">
        <f t="shared" si="36"/>
        <v>-0.76532216717333323</v>
      </c>
      <c r="U114" s="62">
        <f>'Расчет субсидий'!Z114-1</f>
        <v>12</v>
      </c>
      <c r="V114" s="62">
        <f>U114*'Расчет субсидий'!AA114</f>
        <v>360</v>
      </c>
      <c r="W114" s="63">
        <f t="shared" si="37"/>
        <v>72.930700636517642</v>
      </c>
      <c r="X114" s="62">
        <f t="shared" si="38"/>
        <v>353.92502436861946</v>
      </c>
    </row>
    <row r="115" spans="1:24" ht="15" customHeight="1">
      <c r="A115" s="36" t="s">
        <v>115</v>
      </c>
      <c r="B115" s="60">
        <f>'Расчет субсидий'!AG115</f>
        <v>84.481818181818198</v>
      </c>
      <c r="C115" s="62">
        <f>'Расчет субсидий'!D115-1</f>
        <v>-1</v>
      </c>
      <c r="D115" s="62">
        <f>C115*'Расчет субсидий'!E115</f>
        <v>0</v>
      </c>
      <c r="E115" s="63">
        <f t="shared" si="33"/>
        <v>0</v>
      </c>
      <c r="F115" s="30" t="s">
        <v>376</v>
      </c>
      <c r="G115" s="30" t="s">
        <v>376</v>
      </c>
      <c r="H115" s="30" t="s">
        <v>376</v>
      </c>
      <c r="I115" s="30" t="s">
        <v>376</v>
      </c>
      <c r="J115" s="30" t="s">
        <v>376</v>
      </c>
      <c r="K115" s="30" t="s">
        <v>376</v>
      </c>
      <c r="L115" s="62">
        <f>'Расчет субсидий'!P115-1</f>
        <v>1.0143229166666665</v>
      </c>
      <c r="M115" s="62">
        <f>L115*'Расчет субсидий'!Q115</f>
        <v>20.286458333333329</v>
      </c>
      <c r="N115" s="63">
        <f t="shared" si="34"/>
        <v>84.481818181818198</v>
      </c>
      <c r="O115" s="62">
        <f>'Расчет субсидий'!R115-1</f>
        <v>0</v>
      </c>
      <c r="P115" s="62">
        <f>O115*'Расчет субсидий'!S115</f>
        <v>0</v>
      </c>
      <c r="Q115" s="63">
        <f t="shared" si="35"/>
        <v>0</v>
      </c>
      <c r="R115" s="62">
        <f>'Расчет субсидий'!V115-1</f>
        <v>-1</v>
      </c>
      <c r="S115" s="62">
        <f>R115*'Расчет субсидий'!W115</f>
        <v>0</v>
      </c>
      <c r="T115" s="63">
        <f t="shared" si="36"/>
        <v>0</v>
      </c>
      <c r="U115" s="62">
        <f>'Расчет субсидий'!Z115-1</f>
        <v>-1</v>
      </c>
      <c r="V115" s="62">
        <f>U115*'Расчет субсидий'!AA115</f>
        <v>0</v>
      </c>
      <c r="W115" s="63">
        <f t="shared" si="37"/>
        <v>0</v>
      </c>
      <c r="X115" s="62">
        <f t="shared" si="38"/>
        <v>20.286458333333329</v>
      </c>
    </row>
    <row r="116" spans="1:24" ht="15" customHeight="1">
      <c r="A116" s="36" t="s">
        <v>116</v>
      </c>
      <c r="B116" s="60">
        <f>'Расчет субсидий'!AG116</f>
        <v>64.636363636363626</v>
      </c>
      <c r="C116" s="62">
        <f>'Расчет субсидий'!D116-1</f>
        <v>-9.7693009656302676E-2</v>
      </c>
      <c r="D116" s="62">
        <f>C116*'Расчет субсидий'!E116</f>
        <v>-0.97693009656302676</v>
      </c>
      <c r="E116" s="63">
        <f t="shared" si="33"/>
        <v>-0.34857934561888804</v>
      </c>
      <c r="F116" s="30" t="s">
        <v>376</v>
      </c>
      <c r="G116" s="30" t="s">
        <v>376</v>
      </c>
      <c r="H116" s="30" t="s">
        <v>376</v>
      </c>
      <c r="I116" s="30" t="s">
        <v>376</v>
      </c>
      <c r="J116" s="30" t="s">
        <v>376</v>
      </c>
      <c r="K116" s="30" t="s">
        <v>376</v>
      </c>
      <c r="L116" s="62">
        <f>'Расчет субсидий'!P116-1</f>
        <v>10.038173366147115</v>
      </c>
      <c r="M116" s="62">
        <f>L116*'Расчет субсидий'!Q116</f>
        <v>200.76346732294229</v>
      </c>
      <c r="N116" s="63">
        <f t="shared" si="34"/>
        <v>71.634601400669766</v>
      </c>
      <c r="O116" s="62">
        <f>'Расчет субсидий'!R116-1</f>
        <v>0</v>
      </c>
      <c r="P116" s="62">
        <f>O116*'Расчет субсидий'!S116</f>
        <v>0</v>
      </c>
      <c r="Q116" s="63">
        <f t="shared" si="35"/>
        <v>0</v>
      </c>
      <c r="R116" s="62">
        <f>'Расчет субсидий'!V116-1</f>
        <v>4.5454545454545414E-2</v>
      </c>
      <c r="S116" s="62">
        <f>R116*'Расчет субсидий'!W116</f>
        <v>1.3636363636363624</v>
      </c>
      <c r="T116" s="63">
        <f t="shared" si="36"/>
        <v>0.48656037209906655</v>
      </c>
      <c r="U116" s="62">
        <f>'Расчет субсидий'!Z116-1</f>
        <v>-1</v>
      </c>
      <c r="V116" s="62">
        <f>U116*'Расчет субсидий'!AA116</f>
        <v>-20</v>
      </c>
      <c r="W116" s="63">
        <f t="shared" si="37"/>
        <v>-7.136218790786315</v>
      </c>
      <c r="X116" s="62">
        <f t="shared" si="38"/>
        <v>181.15017359001564</v>
      </c>
    </row>
    <row r="117" spans="1:24" ht="15" customHeight="1">
      <c r="A117" s="36" t="s">
        <v>117</v>
      </c>
      <c r="B117" s="60">
        <f>'Расчет субсидий'!AG117</f>
        <v>120.29090909090911</v>
      </c>
      <c r="C117" s="62">
        <f>'Расчет субсидий'!D117-1</f>
        <v>-0.20340440165061902</v>
      </c>
      <c r="D117" s="62">
        <f>C117*'Расчет субсидий'!E117</f>
        <v>-2.0340440165061899</v>
      </c>
      <c r="E117" s="63">
        <f t="shared" si="33"/>
        <v>-1.793474334271858</v>
      </c>
      <c r="F117" s="30" t="s">
        <v>376</v>
      </c>
      <c r="G117" s="30" t="s">
        <v>376</v>
      </c>
      <c r="H117" s="30" t="s">
        <v>376</v>
      </c>
      <c r="I117" s="30" t="s">
        <v>376</v>
      </c>
      <c r="J117" s="30" t="s">
        <v>376</v>
      </c>
      <c r="K117" s="30" t="s">
        <v>376</v>
      </c>
      <c r="L117" s="62">
        <f>'Расчет субсидий'!P117-1</f>
        <v>6.8848758465011262E-2</v>
      </c>
      <c r="M117" s="62">
        <f>L117*'Расчет субсидий'!Q117</f>
        <v>1.3769751693002252</v>
      </c>
      <c r="N117" s="63">
        <f t="shared" si="34"/>
        <v>1.2141180844805408</v>
      </c>
      <c r="O117" s="62">
        <f>'Расчет субсидий'!R117-1</f>
        <v>0</v>
      </c>
      <c r="P117" s="62">
        <f>O117*'Расчет субсидий'!S117</f>
        <v>0</v>
      </c>
      <c r="Q117" s="63">
        <f t="shared" si="35"/>
        <v>0</v>
      </c>
      <c r="R117" s="62">
        <f>'Расчет субсидий'!V117-1</f>
        <v>0.15000000000000013</v>
      </c>
      <c r="S117" s="62">
        <f>R117*'Расчет субсидий'!W117</f>
        <v>3.7500000000000036</v>
      </c>
      <c r="T117" s="63">
        <f t="shared" si="36"/>
        <v>3.3064814226939356</v>
      </c>
      <c r="U117" s="62">
        <f>'Расчет субсидий'!Z117-1</f>
        <v>5.333333333333333</v>
      </c>
      <c r="V117" s="62">
        <f>U117*'Расчет субсидий'!AA117</f>
        <v>133.33333333333331</v>
      </c>
      <c r="W117" s="63">
        <f t="shared" si="37"/>
        <v>117.56378391800649</v>
      </c>
      <c r="X117" s="62">
        <f t="shared" si="38"/>
        <v>136.42626448612737</v>
      </c>
    </row>
    <row r="118" spans="1:24" ht="15" customHeight="1">
      <c r="A118" s="36" t="s">
        <v>118</v>
      </c>
      <c r="B118" s="60">
        <f>'Расчет субсидий'!AG118</f>
        <v>69.627272727272725</v>
      </c>
      <c r="C118" s="62">
        <f>'Расчет субсидий'!D118-1</f>
        <v>1.2402500000000001</v>
      </c>
      <c r="D118" s="62">
        <f>C118*'Расчет субсидий'!E118</f>
        <v>12.4025</v>
      </c>
      <c r="E118" s="63">
        <f t="shared" si="33"/>
        <v>50.541611795182213</v>
      </c>
      <c r="F118" s="30" t="s">
        <v>376</v>
      </c>
      <c r="G118" s="30" t="s">
        <v>376</v>
      </c>
      <c r="H118" s="30" t="s">
        <v>376</v>
      </c>
      <c r="I118" s="30" t="s">
        <v>376</v>
      </c>
      <c r="J118" s="30" t="s">
        <v>376</v>
      </c>
      <c r="K118" s="30" t="s">
        <v>376</v>
      </c>
      <c r="L118" s="62">
        <f>'Расчет субсидий'!P118-1</f>
        <v>0.19131614654002704</v>
      </c>
      <c r="M118" s="62">
        <f>L118*'Расчет субсидий'!Q118</f>
        <v>3.8263229308005409</v>
      </c>
      <c r="N118" s="63">
        <f t="shared" si="34"/>
        <v>15.592705355494845</v>
      </c>
      <c r="O118" s="62">
        <f>'Расчет субсидий'!R118-1</f>
        <v>0</v>
      </c>
      <c r="P118" s="62">
        <f>O118*'Расчет субсидий'!S118</f>
        <v>0</v>
      </c>
      <c r="Q118" s="63">
        <f t="shared" si="35"/>
        <v>0</v>
      </c>
      <c r="R118" s="62">
        <f>'Расчет субсидий'!V118-1</f>
        <v>2.8571428571428692E-2</v>
      </c>
      <c r="S118" s="62">
        <f>R118*'Расчет субсидий'!W118</f>
        <v>0.85714285714286076</v>
      </c>
      <c r="T118" s="63">
        <f t="shared" si="36"/>
        <v>3.4929555765956697</v>
      </c>
      <c r="U118" s="62">
        <f>'Расчет субсидий'!Z118-1</f>
        <v>0</v>
      </c>
      <c r="V118" s="62">
        <f>U118*'Расчет субсидий'!AA118</f>
        <v>0</v>
      </c>
      <c r="W118" s="63">
        <f t="shared" si="37"/>
        <v>0</v>
      </c>
      <c r="X118" s="62">
        <f t="shared" si="38"/>
        <v>17.085965787943401</v>
      </c>
    </row>
    <row r="119" spans="1:24" ht="15" customHeight="1">
      <c r="A119" s="36" t="s">
        <v>119</v>
      </c>
      <c r="B119" s="60">
        <f>'Расчет субсидий'!AG119</f>
        <v>77.845454545454572</v>
      </c>
      <c r="C119" s="62">
        <f>'Расчет субсидий'!D119-1</f>
        <v>-1</v>
      </c>
      <c r="D119" s="62">
        <f>C119*'Расчет субсидий'!E119</f>
        <v>0</v>
      </c>
      <c r="E119" s="63">
        <f t="shared" si="33"/>
        <v>0</v>
      </c>
      <c r="F119" s="30" t="s">
        <v>376</v>
      </c>
      <c r="G119" s="30" t="s">
        <v>376</v>
      </c>
      <c r="H119" s="30" t="s">
        <v>376</v>
      </c>
      <c r="I119" s="30" t="s">
        <v>376</v>
      </c>
      <c r="J119" s="30" t="s">
        <v>376</v>
      </c>
      <c r="K119" s="30" t="s">
        <v>376</v>
      </c>
      <c r="L119" s="62">
        <f>'Расчет субсидий'!P119-1</f>
        <v>5.2469604863221893</v>
      </c>
      <c r="M119" s="62">
        <f>L119*'Расчет субсидий'!Q119</f>
        <v>104.93920972644378</v>
      </c>
      <c r="N119" s="63">
        <f t="shared" si="34"/>
        <v>73.968661139738245</v>
      </c>
      <c r="O119" s="62">
        <f>'Расчет субсидий'!R119-1</f>
        <v>0</v>
      </c>
      <c r="P119" s="62">
        <f>O119*'Расчет субсидий'!S119</f>
        <v>0</v>
      </c>
      <c r="Q119" s="63">
        <f t="shared" si="35"/>
        <v>0</v>
      </c>
      <c r="R119" s="62">
        <f>'Расчет субсидий'!V119-1</f>
        <v>3.3333333333333437E-2</v>
      </c>
      <c r="S119" s="62">
        <f>R119*'Расчет субсидий'!W119</f>
        <v>1.0000000000000031</v>
      </c>
      <c r="T119" s="63">
        <f t="shared" si="36"/>
        <v>0.70487152831206246</v>
      </c>
      <c r="U119" s="62">
        <f>'Расчет субсидий'!Z119-1</f>
        <v>0.22500000000000009</v>
      </c>
      <c r="V119" s="62">
        <f>U119*'Расчет субсидий'!AA119</f>
        <v>4.5000000000000018</v>
      </c>
      <c r="W119" s="63">
        <f t="shared" si="37"/>
        <v>3.1719218774042721</v>
      </c>
      <c r="X119" s="62">
        <f t="shared" si="38"/>
        <v>110.43920972644378</v>
      </c>
    </row>
    <row r="120" spans="1:24" ht="15" customHeight="1">
      <c r="A120" s="36" t="s">
        <v>120</v>
      </c>
      <c r="B120" s="60">
        <f>'Расчет субсидий'!AG120</f>
        <v>-33.463636363636368</v>
      </c>
      <c r="C120" s="62">
        <f>'Расчет субсидий'!D120-1</f>
        <v>-1</v>
      </c>
      <c r="D120" s="62">
        <f>C120*'Расчет субсидий'!E120</f>
        <v>0</v>
      </c>
      <c r="E120" s="63">
        <f t="shared" si="33"/>
        <v>0</v>
      </c>
      <c r="F120" s="30" t="s">
        <v>376</v>
      </c>
      <c r="G120" s="30" t="s">
        <v>376</v>
      </c>
      <c r="H120" s="30" t="s">
        <v>376</v>
      </c>
      <c r="I120" s="30" t="s">
        <v>376</v>
      </c>
      <c r="J120" s="30" t="s">
        <v>376</v>
      </c>
      <c r="K120" s="30" t="s">
        <v>376</v>
      </c>
      <c r="L120" s="62">
        <f>'Расчет субсидий'!P120-1</f>
        <v>0.23492681616758415</v>
      </c>
      <c r="M120" s="62">
        <f>L120*'Расчет субсидий'!Q120</f>
        <v>4.698536323351683</v>
      </c>
      <c r="N120" s="63">
        <f t="shared" si="34"/>
        <v>12.626199088431635</v>
      </c>
      <c r="O120" s="62">
        <f>'Расчет субсидий'!R120-1</f>
        <v>0</v>
      </c>
      <c r="P120" s="62">
        <f>O120*'Расчет субсидий'!S120</f>
        <v>0</v>
      </c>
      <c r="Q120" s="63">
        <f t="shared" si="35"/>
        <v>0</v>
      </c>
      <c r="R120" s="62">
        <f>'Расчет субсидий'!V120-1</f>
        <v>0.12884615384615383</v>
      </c>
      <c r="S120" s="62">
        <f>R120*'Расчет субсидий'!W120</f>
        <v>0.64423076923076916</v>
      </c>
      <c r="T120" s="63">
        <f t="shared" si="36"/>
        <v>1.7312169985308656</v>
      </c>
      <c r="U120" s="62">
        <f>'Расчет субсидий'!Z120-1</f>
        <v>-0.3954545454545455</v>
      </c>
      <c r="V120" s="62">
        <f>U120*'Расчет субсидий'!AA120</f>
        <v>-17.795454545454547</v>
      </c>
      <c r="W120" s="63">
        <f t="shared" si="37"/>
        <v>-47.82105245059887</v>
      </c>
      <c r="X120" s="62">
        <f t="shared" si="38"/>
        <v>-12.452687452872095</v>
      </c>
    </row>
    <row r="121" spans="1:24" ht="15" customHeight="1">
      <c r="A121" s="35" t="s">
        <v>121</v>
      </c>
      <c r="B121" s="64"/>
      <c r="C121" s="65"/>
      <c r="D121" s="65"/>
      <c r="E121" s="66"/>
      <c r="F121" s="65"/>
      <c r="G121" s="65"/>
      <c r="H121" s="66"/>
      <c r="I121" s="66"/>
      <c r="J121" s="66"/>
      <c r="K121" s="66"/>
      <c r="L121" s="65"/>
      <c r="M121" s="65"/>
      <c r="N121" s="66"/>
      <c r="O121" s="65"/>
      <c r="P121" s="65"/>
      <c r="Q121" s="66"/>
      <c r="R121" s="65"/>
      <c r="S121" s="65"/>
      <c r="T121" s="66"/>
      <c r="U121" s="65"/>
      <c r="V121" s="65"/>
      <c r="W121" s="66"/>
      <c r="X121" s="66"/>
    </row>
    <row r="122" spans="1:24" ht="15" customHeight="1">
      <c r="A122" s="36" t="s">
        <v>122</v>
      </c>
      <c r="B122" s="60">
        <f>'Расчет субсидий'!AG122</f>
        <v>17</v>
      </c>
      <c r="C122" s="62">
        <f>'Расчет субсидий'!D122-1</f>
        <v>-0.11475409836065575</v>
      </c>
      <c r="D122" s="62">
        <f>C122*'Расчет субсидий'!E122</f>
        <v>-1.1475409836065575</v>
      </c>
      <c r="E122" s="63">
        <f t="shared" ref="E122:E128" si="39">$B122*D122/$X122</f>
        <v>-0.89434754427790619</v>
      </c>
      <c r="F122" s="30" t="s">
        <v>376</v>
      </c>
      <c r="G122" s="30" t="s">
        <v>376</v>
      </c>
      <c r="H122" s="30" t="s">
        <v>376</v>
      </c>
      <c r="I122" s="30" t="s">
        <v>376</v>
      </c>
      <c r="J122" s="30" t="s">
        <v>376</v>
      </c>
      <c r="K122" s="30" t="s">
        <v>376</v>
      </c>
      <c r="L122" s="62">
        <f>'Расчет субсидий'!P122-1</f>
        <v>-0.18531781557743954</v>
      </c>
      <c r="M122" s="62">
        <f>L122*'Расчет субсидий'!Q122</f>
        <v>-3.7063563115487907</v>
      </c>
      <c r="N122" s="63">
        <f t="shared" ref="N122:N128" si="40">$B122*M122/$X122</f>
        <v>-2.8885858656086758</v>
      </c>
      <c r="O122" s="62">
        <f>'Расчет субсидий'!R122-1</f>
        <v>0</v>
      </c>
      <c r="P122" s="62">
        <f>O122*'Расчет субсидий'!S122</f>
        <v>0</v>
      </c>
      <c r="Q122" s="63">
        <f t="shared" ref="Q122:Q128" si="41">$B122*P122/$X122</f>
        <v>0</v>
      </c>
      <c r="R122" s="62">
        <f>'Расчет субсидий'!V122-1</f>
        <v>0</v>
      </c>
      <c r="S122" s="62">
        <f>R122*'Расчет субсидий'!W122</f>
        <v>0</v>
      </c>
      <c r="T122" s="63">
        <f t="shared" ref="T122:T128" si="42">$B122*S122/$X122</f>
        <v>0</v>
      </c>
      <c r="U122" s="62">
        <f>'Расчет субсидий'!Z122-1</f>
        <v>1.0666666666666669</v>
      </c>
      <c r="V122" s="62">
        <f>U122*'Расчет субсидий'!AA122</f>
        <v>26.666666666666671</v>
      </c>
      <c r="W122" s="63">
        <f t="shared" ref="W122:W128" si="43">$B122*V122/$X122</f>
        <v>20.782933409886581</v>
      </c>
      <c r="X122" s="62">
        <f t="shared" si="38"/>
        <v>21.812769371511322</v>
      </c>
    </row>
    <row r="123" spans="1:24" ht="15" customHeight="1">
      <c r="A123" s="36" t="s">
        <v>123</v>
      </c>
      <c r="B123" s="60">
        <f>'Расчет субсидий'!AG123</f>
        <v>9.6272727272727252</v>
      </c>
      <c r="C123" s="62">
        <f>'Расчет субсидий'!D123-1</f>
        <v>-0.13786956521739135</v>
      </c>
      <c r="D123" s="62">
        <f>C123*'Расчет субсидий'!E123</f>
        <v>-1.3786956521739135</v>
      </c>
      <c r="E123" s="63">
        <f t="shared" si="39"/>
        <v>-2.6810988556397115</v>
      </c>
      <c r="F123" s="30" t="s">
        <v>376</v>
      </c>
      <c r="G123" s="30" t="s">
        <v>376</v>
      </c>
      <c r="H123" s="30" t="s">
        <v>376</v>
      </c>
      <c r="I123" s="30" t="s">
        <v>376</v>
      </c>
      <c r="J123" s="30" t="s">
        <v>376</v>
      </c>
      <c r="K123" s="30" t="s">
        <v>376</v>
      </c>
      <c r="L123" s="62">
        <f>'Расчет субсидий'!P123-1</f>
        <v>-7.857052338106707E-2</v>
      </c>
      <c r="M123" s="62">
        <f>L123*'Расчет субсидий'!Q123</f>
        <v>-1.5714104676213414</v>
      </c>
      <c r="N123" s="63">
        <f t="shared" si="40"/>
        <v>-3.0558642872606856</v>
      </c>
      <c r="O123" s="62">
        <f>'Расчет субсидий'!R123-1</f>
        <v>0</v>
      </c>
      <c r="P123" s="62">
        <f>O123*'Расчет субсидий'!S123</f>
        <v>0</v>
      </c>
      <c r="Q123" s="63">
        <f t="shared" si="41"/>
        <v>0</v>
      </c>
      <c r="R123" s="62">
        <f>'Расчет субсидий'!V123-1</f>
        <v>0.19318181818181812</v>
      </c>
      <c r="S123" s="62">
        <f>R123*'Расчет субсидий'!W123</f>
        <v>5.7954545454545432</v>
      </c>
      <c r="T123" s="63">
        <f t="shared" si="42"/>
        <v>11.270207841179221</v>
      </c>
      <c r="U123" s="62">
        <f>'Расчет субсидий'!Z123-1</f>
        <v>0.10526315789473695</v>
      </c>
      <c r="V123" s="62">
        <f>U123*'Расчет субсидий'!AA123</f>
        <v>2.1052631578947389</v>
      </c>
      <c r="W123" s="63">
        <f t="shared" si="43"/>
        <v>4.0940280289939022</v>
      </c>
      <c r="X123" s="62">
        <f t="shared" si="38"/>
        <v>4.9506115835540268</v>
      </c>
    </row>
    <row r="124" spans="1:24" ht="15" customHeight="1">
      <c r="A124" s="36" t="s">
        <v>124</v>
      </c>
      <c r="B124" s="60">
        <f>'Расчет субсидий'!AG124</f>
        <v>19.554545454545448</v>
      </c>
      <c r="C124" s="62">
        <f>'Расчет субсидий'!D124-1</f>
        <v>0.61999999999999988</v>
      </c>
      <c r="D124" s="62">
        <f>C124*'Расчет субсидий'!E124</f>
        <v>6.1999999999999993</v>
      </c>
      <c r="E124" s="63">
        <f t="shared" si="39"/>
        <v>1.5414664772475102</v>
      </c>
      <c r="F124" s="30" t="s">
        <v>376</v>
      </c>
      <c r="G124" s="30" t="s">
        <v>376</v>
      </c>
      <c r="H124" s="30" t="s">
        <v>376</v>
      </c>
      <c r="I124" s="30" t="s">
        <v>376</v>
      </c>
      <c r="J124" s="30" t="s">
        <v>376</v>
      </c>
      <c r="K124" s="30" t="s">
        <v>376</v>
      </c>
      <c r="L124" s="62">
        <f>'Расчет субсидий'!P124-1</f>
        <v>-0.24886877828054299</v>
      </c>
      <c r="M124" s="62">
        <f>L124*'Расчет субсидий'!Q124</f>
        <v>-4.9773755656108598</v>
      </c>
      <c r="N124" s="63">
        <f t="shared" si="40"/>
        <v>-1.237493157912904</v>
      </c>
      <c r="O124" s="62">
        <f>'Расчет субсидий'!R124-1</f>
        <v>0</v>
      </c>
      <c r="P124" s="62">
        <f>O124*'Расчет субсидий'!S124</f>
        <v>0</v>
      </c>
      <c r="Q124" s="63">
        <f t="shared" si="41"/>
        <v>0</v>
      </c>
      <c r="R124" s="62">
        <f>'Расчет субсидий'!V124-1</f>
        <v>1.4285714285714284</v>
      </c>
      <c r="S124" s="62">
        <f>R124*'Расчет субсидий'!W124</f>
        <v>21.428571428571427</v>
      </c>
      <c r="T124" s="63">
        <f t="shared" si="42"/>
        <v>5.3276491149107494</v>
      </c>
      <c r="U124" s="62">
        <f>'Расчет субсидий'!Z124-1</f>
        <v>1.6</v>
      </c>
      <c r="V124" s="62">
        <f>U124*'Расчет субсидий'!AA124</f>
        <v>56</v>
      </c>
      <c r="W124" s="63">
        <f t="shared" si="43"/>
        <v>13.922923020300091</v>
      </c>
      <c r="X124" s="62">
        <f t="shared" si="38"/>
        <v>78.651195862960563</v>
      </c>
    </row>
    <row r="125" spans="1:24" ht="15" customHeight="1">
      <c r="A125" s="36" t="s">
        <v>125</v>
      </c>
      <c r="B125" s="60">
        <f>'Расчет субсидий'!AG125</f>
        <v>-4.2363636363636203</v>
      </c>
      <c r="C125" s="62">
        <f>'Расчет субсидий'!D125-1</f>
        <v>-0.29670329670329665</v>
      </c>
      <c r="D125" s="62">
        <f>C125*'Расчет субсидий'!E125</f>
        <v>-2.9670329670329663</v>
      </c>
      <c r="E125" s="63">
        <f t="shared" si="39"/>
        <v>-5.0407632831913718</v>
      </c>
      <c r="F125" s="30" t="s">
        <v>376</v>
      </c>
      <c r="G125" s="30" t="s">
        <v>376</v>
      </c>
      <c r="H125" s="30" t="s">
        <v>376</v>
      </c>
      <c r="I125" s="30" t="s">
        <v>376</v>
      </c>
      <c r="J125" s="30" t="s">
        <v>376</v>
      </c>
      <c r="K125" s="30" t="s">
        <v>376</v>
      </c>
      <c r="L125" s="62">
        <f>'Расчет субсидий'!P125-1</f>
        <v>-0.39507620164126611</v>
      </c>
      <c r="M125" s="62">
        <f>L125*'Расчет субсидий'!Q125</f>
        <v>-7.9015240328253222</v>
      </c>
      <c r="N125" s="63">
        <f t="shared" si="40"/>
        <v>-13.424088194661961</v>
      </c>
      <c r="O125" s="62">
        <f>'Расчет субсидий'!R125-1</f>
        <v>0</v>
      </c>
      <c r="P125" s="62">
        <f>O125*'Расчет субсидий'!S125</f>
        <v>0</v>
      </c>
      <c r="Q125" s="63">
        <f t="shared" si="41"/>
        <v>0</v>
      </c>
      <c r="R125" s="62">
        <f>'Расчет субсидий'!V125-1</f>
        <v>0.21249999999999991</v>
      </c>
      <c r="S125" s="62">
        <f>R125*'Расчет субсидий'!W125</f>
        <v>6.3749999999999973</v>
      </c>
      <c r="T125" s="63">
        <f t="shared" si="42"/>
        <v>10.830639998745903</v>
      </c>
      <c r="U125" s="62">
        <f>'Расчет субсидий'!Z125-1</f>
        <v>9.9999999999999867E-2</v>
      </c>
      <c r="V125" s="62">
        <f>U125*'Расчет субсидий'!AA125</f>
        <v>1.9999999999999973</v>
      </c>
      <c r="W125" s="63">
        <f t="shared" si="43"/>
        <v>3.3978478427438099</v>
      </c>
      <c r="X125" s="62">
        <f t="shared" si="38"/>
        <v>-2.4935569998582938</v>
      </c>
    </row>
    <row r="126" spans="1:24" ht="15" customHeight="1">
      <c r="A126" s="36" t="s">
        <v>126</v>
      </c>
      <c r="B126" s="60">
        <f>'Расчет субсидий'!AG126</f>
        <v>30.745454545454535</v>
      </c>
      <c r="C126" s="62">
        <f>'Расчет субсидий'!D126-1</f>
        <v>-0.20270270270270274</v>
      </c>
      <c r="D126" s="62">
        <f>C126*'Расчет субсидий'!E126</f>
        <v>-2.0270270270270272</v>
      </c>
      <c r="E126" s="63">
        <f t="shared" si="39"/>
        <v>-1.0101716556327343</v>
      </c>
      <c r="F126" s="30" t="s">
        <v>376</v>
      </c>
      <c r="G126" s="30" t="s">
        <v>376</v>
      </c>
      <c r="H126" s="30" t="s">
        <v>376</v>
      </c>
      <c r="I126" s="30" t="s">
        <v>376</v>
      </c>
      <c r="J126" s="30" t="s">
        <v>376</v>
      </c>
      <c r="K126" s="30" t="s">
        <v>376</v>
      </c>
      <c r="L126" s="62">
        <f>'Расчет субсидий'!P126-1</f>
        <v>-2.1074815595363505E-2</v>
      </c>
      <c r="M126" s="62">
        <f>L126*'Расчет субсидий'!Q126</f>
        <v>-0.4214963119072701</v>
      </c>
      <c r="N126" s="63">
        <f t="shared" si="40"/>
        <v>-0.21005325610627948</v>
      </c>
      <c r="O126" s="62">
        <f>'Расчет субсидий'!R126-1</f>
        <v>0</v>
      </c>
      <c r="P126" s="62">
        <f>O126*'Расчет субсидий'!S126</f>
        <v>0</v>
      </c>
      <c r="Q126" s="63">
        <f t="shared" si="41"/>
        <v>0</v>
      </c>
      <c r="R126" s="62">
        <f>'Расчет субсидий'!V126-1</f>
        <v>2.0714285714285716</v>
      </c>
      <c r="S126" s="62">
        <f>R126*'Расчет субсидий'!W126</f>
        <v>62.142857142857146</v>
      </c>
      <c r="T126" s="63">
        <f t="shared" si="42"/>
        <v>30.968976756969255</v>
      </c>
      <c r="U126" s="62">
        <f>'Расчет субсидий'!Z126-1</f>
        <v>0.10000000000000009</v>
      </c>
      <c r="V126" s="62">
        <f>U126*'Расчет субсидий'!AA126</f>
        <v>2.0000000000000018</v>
      </c>
      <c r="W126" s="63">
        <f t="shared" si="43"/>
        <v>0.99670270022429863</v>
      </c>
      <c r="X126" s="62">
        <f t="shared" si="38"/>
        <v>61.694333803922845</v>
      </c>
    </row>
    <row r="127" spans="1:24" ht="15" customHeight="1">
      <c r="A127" s="36" t="s">
        <v>127</v>
      </c>
      <c r="B127" s="60">
        <f>'Расчет субсидий'!AG127</f>
        <v>-40.963636363636354</v>
      </c>
      <c r="C127" s="62">
        <f>'Расчет субсидий'!D127-1</f>
        <v>-2.7397260273972601E-2</v>
      </c>
      <c r="D127" s="62">
        <f>C127*'Расчет субсидий'!E127</f>
        <v>-0.27397260273972601</v>
      </c>
      <c r="E127" s="63">
        <f t="shared" si="39"/>
        <v>-0.3328126595073212</v>
      </c>
      <c r="F127" s="30" t="s">
        <v>376</v>
      </c>
      <c r="G127" s="30" t="s">
        <v>376</v>
      </c>
      <c r="H127" s="30" t="s">
        <v>376</v>
      </c>
      <c r="I127" s="30" t="s">
        <v>376</v>
      </c>
      <c r="J127" s="30" t="s">
        <v>376</v>
      </c>
      <c r="K127" s="30" t="s">
        <v>376</v>
      </c>
      <c r="L127" s="62">
        <f>'Расчет субсидий'!P127-1</f>
        <v>-0.92933810375670844</v>
      </c>
      <c r="M127" s="62">
        <f>L127*'Расчет субсидий'!Q127</f>
        <v>-18.586762075134168</v>
      </c>
      <c r="N127" s="63">
        <f t="shared" si="40"/>
        <v>-22.578570470171549</v>
      </c>
      <c r="O127" s="62">
        <f>'Расчет субсидий'!R127-1</f>
        <v>0</v>
      </c>
      <c r="P127" s="62">
        <f>O127*'Расчет субсидий'!S127</f>
        <v>0</v>
      </c>
      <c r="Q127" s="63">
        <f t="shared" si="41"/>
        <v>0</v>
      </c>
      <c r="R127" s="62">
        <f>'Расчет субсидий'!V127-1</f>
        <v>-0.49535603715170273</v>
      </c>
      <c r="S127" s="62">
        <f>R127*'Расчет субсидий'!W127</f>
        <v>-14.860681114551081</v>
      </c>
      <c r="T127" s="63">
        <f t="shared" si="42"/>
        <v>-18.052253233957479</v>
      </c>
      <c r="U127" s="62">
        <f>'Расчет субсидий'!Z127-1</f>
        <v>0</v>
      </c>
      <c r="V127" s="62">
        <f>U127*'Расчет субсидий'!AA127</f>
        <v>0</v>
      </c>
      <c r="W127" s="63">
        <f t="shared" si="43"/>
        <v>0</v>
      </c>
      <c r="X127" s="62">
        <f t="shared" si="38"/>
        <v>-33.721415792424978</v>
      </c>
    </row>
    <row r="128" spans="1:24" ht="15" customHeight="1">
      <c r="A128" s="36" t="s">
        <v>128</v>
      </c>
      <c r="B128" s="60">
        <f>'Расчет субсидий'!AG128</f>
        <v>15.218181818181819</v>
      </c>
      <c r="C128" s="62">
        <f>'Расчет субсидий'!D128-1</f>
        <v>-0.2247191011235955</v>
      </c>
      <c r="D128" s="62">
        <f>C128*'Расчет субсидий'!E128</f>
        <v>-2.2471910112359552</v>
      </c>
      <c r="E128" s="63">
        <f t="shared" si="39"/>
        <v>-2.7449198673771673</v>
      </c>
      <c r="F128" s="30" t="s">
        <v>376</v>
      </c>
      <c r="G128" s="30" t="s">
        <v>376</v>
      </c>
      <c r="H128" s="30" t="s">
        <v>376</v>
      </c>
      <c r="I128" s="30" t="s">
        <v>376</v>
      </c>
      <c r="J128" s="30" t="s">
        <v>376</v>
      </c>
      <c r="K128" s="30" t="s">
        <v>376</v>
      </c>
      <c r="L128" s="62">
        <f>'Расчет субсидий'!P128-1</f>
        <v>0.27680798004987528</v>
      </c>
      <c r="M128" s="62">
        <f>L128*'Расчет субсидий'!Q128</f>
        <v>5.5361596009975056</v>
      </c>
      <c r="N128" s="63">
        <f t="shared" si="40"/>
        <v>6.7623599425982626</v>
      </c>
      <c r="O128" s="62">
        <f>'Расчет субсидий'!R128-1</f>
        <v>0</v>
      </c>
      <c r="P128" s="62">
        <f>O128*'Расчет субсидий'!S128</f>
        <v>0</v>
      </c>
      <c r="Q128" s="63">
        <f t="shared" si="41"/>
        <v>0</v>
      </c>
      <c r="R128" s="62">
        <f>'Расчет субсидий'!V128-1</f>
        <v>0.26199261992619927</v>
      </c>
      <c r="S128" s="62">
        <f>R128*'Расчет субсидий'!W128</f>
        <v>9.1697416974169741</v>
      </c>
      <c r="T128" s="63">
        <f t="shared" si="42"/>
        <v>11.200741742960723</v>
      </c>
      <c r="U128" s="62">
        <f>'Расчет субсидий'!Z128-1</f>
        <v>0</v>
      </c>
      <c r="V128" s="62">
        <f>U128*'Расчет субсидий'!AA128</f>
        <v>0</v>
      </c>
      <c r="W128" s="63">
        <f t="shared" si="43"/>
        <v>0</v>
      </c>
      <c r="X128" s="62">
        <f t="shared" si="38"/>
        <v>12.458710287178524</v>
      </c>
    </row>
    <row r="129" spans="1:24" ht="15" customHeight="1">
      <c r="A129" s="35" t="s">
        <v>129</v>
      </c>
      <c r="B129" s="64"/>
      <c r="C129" s="65"/>
      <c r="D129" s="65"/>
      <c r="E129" s="66"/>
      <c r="F129" s="65"/>
      <c r="G129" s="65"/>
      <c r="H129" s="66"/>
      <c r="I129" s="66"/>
      <c r="J129" s="66"/>
      <c r="K129" s="66"/>
      <c r="L129" s="65"/>
      <c r="M129" s="65"/>
      <c r="N129" s="66"/>
      <c r="O129" s="65"/>
      <c r="P129" s="65"/>
      <c r="Q129" s="66"/>
      <c r="R129" s="65"/>
      <c r="S129" s="65"/>
      <c r="T129" s="66"/>
      <c r="U129" s="65"/>
      <c r="V129" s="65"/>
      <c r="W129" s="66"/>
      <c r="X129" s="66"/>
    </row>
    <row r="130" spans="1:24" ht="15" customHeight="1">
      <c r="A130" s="36" t="s">
        <v>130</v>
      </c>
      <c r="B130" s="60">
        <f>'Расчет субсидий'!AG130</f>
        <v>0.37272727272727479</v>
      </c>
      <c r="C130" s="62">
        <f>'Расчет субсидий'!D130-1</f>
        <v>0.8620000000000001</v>
      </c>
      <c r="D130" s="62">
        <f>C130*'Расчет субсидий'!E130</f>
        <v>8.620000000000001</v>
      </c>
      <c r="E130" s="63">
        <f t="shared" ref="E130:E138" si="44">$B130*D130/$X130</f>
        <v>1.3636791947832241</v>
      </c>
      <c r="F130" s="30" t="s">
        <v>376</v>
      </c>
      <c r="G130" s="30" t="s">
        <v>376</v>
      </c>
      <c r="H130" s="30" t="s">
        <v>376</v>
      </c>
      <c r="I130" s="30" t="s">
        <v>376</v>
      </c>
      <c r="J130" s="30" t="s">
        <v>376</v>
      </c>
      <c r="K130" s="30" t="s">
        <v>376</v>
      </c>
      <c r="L130" s="62">
        <f>'Расчет субсидий'!P130-1</f>
        <v>-1.4100394811054739E-2</v>
      </c>
      <c r="M130" s="62">
        <f>L130*'Расчет субсидий'!Q130</f>
        <v>-0.28200789622109479</v>
      </c>
      <c r="N130" s="63">
        <f t="shared" ref="N130:N138" si="45">$B130*M130/$X130</f>
        <v>-4.4613491976948208E-2</v>
      </c>
      <c r="O130" s="62">
        <f>'Расчет субсидий'!R130-1</f>
        <v>0</v>
      </c>
      <c r="P130" s="62">
        <f>O130*'Расчет субсидий'!S130</f>
        <v>0</v>
      </c>
      <c r="Q130" s="63">
        <f t="shared" ref="Q130:Q138" si="46">$B130*P130/$X130</f>
        <v>0</v>
      </c>
      <c r="R130" s="62">
        <f>'Расчет субсидий'!V130-1</f>
        <v>-0.1755882352941176</v>
      </c>
      <c r="S130" s="62">
        <f>R130*'Расчет субсидий'!W130</f>
        <v>-5.2676470588235276</v>
      </c>
      <c r="T130" s="63">
        <f t="shared" ref="T130:T138" si="47">$B130*S130/$X130</f>
        <v>-0.83333882825738814</v>
      </c>
      <c r="U130" s="62">
        <f>'Расчет субсидий'!Z130-1</f>
        <v>-3.5714285714285698E-2</v>
      </c>
      <c r="V130" s="62">
        <f>U130*'Расчет субсидий'!AA130</f>
        <v>-0.71428571428571397</v>
      </c>
      <c r="W130" s="63">
        <f t="shared" ref="W130:W138" si="48">$B130*V130/$X130</f>
        <v>-0.11299960182161281</v>
      </c>
      <c r="X130" s="62">
        <f t="shared" si="38"/>
        <v>2.3560593306696638</v>
      </c>
    </row>
    <row r="131" spans="1:24" ht="15" customHeight="1">
      <c r="A131" s="36" t="s">
        <v>131</v>
      </c>
      <c r="B131" s="60">
        <f>'Расчет субсидий'!AG131</f>
        <v>5.8363636363636147</v>
      </c>
      <c r="C131" s="62">
        <f>'Расчет субсидий'!D131-1</f>
        <v>-1</v>
      </c>
      <c r="D131" s="62">
        <f>C131*'Расчет субсидий'!E131</f>
        <v>0</v>
      </c>
      <c r="E131" s="63">
        <f t="shared" si="44"/>
        <v>0</v>
      </c>
      <c r="F131" s="30" t="s">
        <v>376</v>
      </c>
      <c r="G131" s="30" t="s">
        <v>376</v>
      </c>
      <c r="H131" s="30" t="s">
        <v>376</v>
      </c>
      <c r="I131" s="30" t="s">
        <v>376</v>
      </c>
      <c r="J131" s="30" t="s">
        <v>376</v>
      </c>
      <c r="K131" s="30" t="s">
        <v>376</v>
      </c>
      <c r="L131" s="62">
        <f>'Расчет субсидий'!P131-1</f>
        <v>-0.47699386503067487</v>
      </c>
      <c r="M131" s="62">
        <f>L131*'Расчет субсидий'!Q131</f>
        <v>-9.5398773006134974</v>
      </c>
      <c r="N131" s="63">
        <f t="shared" si="45"/>
        <v>-21.12124484403893</v>
      </c>
      <c r="O131" s="62">
        <f>'Расчет субсидий'!R131-1</f>
        <v>0</v>
      </c>
      <c r="P131" s="62">
        <f>O131*'Расчет субсидий'!S131</f>
        <v>0</v>
      </c>
      <c r="Q131" s="63">
        <f t="shared" si="46"/>
        <v>0</v>
      </c>
      <c r="R131" s="62">
        <f>'Расчет субсидий'!V131-1</f>
        <v>0.25440000000000018</v>
      </c>
      <c r="S131" s="62">
        <f>R131*'Расчет субсидий'!W131</f>
        <v>10.176000000000007</v>
      </c>
      <c r="T131" s="63">
        <f t="shared" si="47"/>
        <v>22.529617599915927</v>
      </c>
      <c r="U131" s="62">
        <f>'Расчет субсидий'!Z131-1</f>
        <v>0.19999999999999996</v>
      </c>
      <c r="V131" s="62">
        <f>U131*'Расчет субсидий'!AA131</f>
        <v>1.9999999999999996</v>
      </c>
      <c r="W131" s="63">
        <f t="shared" si="48"/>
        <v>4.4279908804866173</v>
      </c>
      <c r="X131" s="62">
        <f t="shared" si="38"/>
        <v>2.6361226993865094</v>
      </c>
    </row>
    <row r="132" spans="1:24" ht="15" customHeight="1">
      <c r="A132" s="36" t="s">
        <v>132</v>
      </c>
      <c r="B132" s="60">
        <f>'Расчет субсидий'!AG132</f>
        <v>42.409090909090935</v>
      </c>
      <c r="C132" s="62">
        <f>'Расчет субсидий'!D132-1</f>
        <v>-5.6405405405405395E-2</v>
      </c>
      <c r="D132" s="62">
        <f>C132*'Расчет субсидий'!E132</f>
        <v>-0.56405405405405395</v>
      </c>
      <c r="E132" s="63">
        <f t="shared" si="44"/>
        <v>-1.5854661573034021</v>
      </c>
      <c r="F132" s="30" t="s">
        <v>376</v>
      </c>
      <c r="G132" s="30" t="s">
        <v>376</v>
      </c>
      <c r="H132" s="30" t="s">
        <v>376</v>
      </c>
      <c r="I132" s="30" t="s">
        <v>376</v>
      </c>
      <c r="J132" s="30" t="s">
        <v>376</v>
      </c>
      <c r="K132" s="30" t="s">
        <v>376</v>
      </c>
      <c r="L132" s="62">
        <f>'Расчет субсидий'!P132-1</f>
        <v>6.0006487187804103E-2</v>
      </c>
      <c r="M132" s="62">
        <f>L132*'Расчет субсидий'!Q132</f>
        <v>1.2001297437560821</v>
      </c>
      <c r="N132" s="63">
        <f t="shared" si="45"/>
        <v>3.3733736676877566</v>
      </c>
      <c r="O132" s="62">
        <f>'Расчет субсидий'!R132-1</f>
        <v>0</v>
      </c>
      <c r="P132" s="62">
        <f>O132*'Расчет субсидий'!S132</f>
        <v>0</v>
      </c>
      <c r="Q132" s="63">
        <f t="shared" si="46"/>
        <v>0</v>
      </c>
      <c r="R132" s="62">
        <f>'Расчет субсидий'!V132-1</f>
        <v>-2.741935483870972E-2</v>
      </c>
      <c r="S132" s="62">
        <f>R132*'Расчет субсидий'!W132</f>
        <v>-0.54838709677419439</v>
      </c>
      <c r="T132" s="63">
        <f t="shared" si="47"/>
        <v>-1.5414288343259219</v>
      </c>
      <c r="U132" s="62">
        <f>'Расчет субсидий'!Z132-1</f>
        <v>0.5</v>
      </c>
      <c r="V132" s="62">
        <f>U132*'Расчет субсидий'!AA132</f>
        <v>15</v>
      </c>
      <c r="W132" s="63">
        <f t="shared" si="48"/>
        <v>42.162612233032497</v>
      </c>
      <c r="X132" s="62">
        <f t="shared" si="38"/>
        <v>15.087688592927833</v>
      </c>
    </row>
    <row r="133" spans="1:24" ht="15" customHeight="1">
      <c r="A133" s="36" t="s">
        <v>133</v>
      </c>
      <c r="B133" s="60">
        <f>'Расчет субсидий'!AG133</f>
        <v>-17.072727272727263</v>
      </c>
      <c r="C133" s="62">
        <f>'Расчет субсидий'!D133-1</f>
        <v>-1</v>
      </c>
      <c r="D133" s="62">
        <f>C133*'Расчет субсидий'!E133</f>
        <v>0</v>
      </c>
      <c r="E133" s="63">
        <f t="shared" si="44"/>
        <v>0</v>
      </c>
      <c r="F133" s="30" t="s">
        <v>376</v>
      </c>
      <c r="G133" s="30" t="s">
        <v>376</v>
      </c>
      <c r="H133" s="30" t="s">
        <v>376</v>
      </c>
      <c r="I133" s="30" t="s">
        <v>376</v>
      </c>
      <c r="J133" s="30" t="s">
        <v>376</v>
      </c>
      <c r="K133" s="30" t="s">
        <v>376</v>
      </c>
      <c r="L133" s="62">
        <f>'Расчет субсидий'!P133-1</f>
        <v>0</v>
      </c>
      <c r="M133" s="62">
        <f>L133*'Расчет субсидий'!Q133</f>
        <v>0</v>
      </c>
      <c r="N133" s="63">
        <f t="shared" si="45"/>
        <v>0</v>
      </c>
      <c r="O133" s="62">
        <f>'Расчет субсидий'!R133-1</f>
        <v>0</v>
      </c>
      <c r="P133" s="62">
        <f>O133*'Расчет субсидий'!S133</f>
        <v>0</v>
      </c>
      <c r="Q133" s="63">
        <f t="shared" si="46"/>
        <v>0</v>
      </c>
      <c r="R133" s="62">
        <f>'Расчет субсидий'!V133-1</f>
        <v>-0.24</v>
      </c>
      <c r="S133" s="62">
        <f>R133*'Расчет субсидий'!W133</f>
        <v>-4.8</v>
      </c>
      <c r="T133" s="63">
        <f t="shared" si="47"/>
        <v>-7.3923149015932479</v>
      </c>
      <c r="U133" s="62">
        <f>'Расчет субсидий'!Z133-1</f>
        <v>-0.62857142857142856</v>
      </c>
      <c r="V133" s="62">
        <f>U133*'Расчет субсидий'!AA133</f>
        <v>-6.2857142857142856</v>
      </c>
      <c r="W133" s="63">
        <f t="shared" si="48"/>
        <v>-9.6804123711340164</v>
      </c>
      <c r="X133" s="62">
        <f t="shared" si="38"/>
        <v>-11.085714285714285</v>
      </c>
    </row>
    <row r="134" spans="1:24" ht="15" customHeight="1">
      <c r="A134" s="36" t="s">
        <v>134</v>
      </c>
      <c r="B134" s="60">
        <f>'Расчет субсидий'!AG134</f>
        <v>10.045454545454547</v>
      </c>
      <c r="C134" s="62">
        <f>'Расчет субсидий'!D134-1</f>
        <v>-1</v>
      </c>
      <c r="D134" s="62">
        <f>C134*'Расчет субсидий'!E134</f>
        <v>0</v>
      </c>
      <c r="E134" s="63">
        <f t="shared" si="44"/>
        <v>0</v>
      </c>
      <c r="F134" s="30" t="s">
        <v>376</v>
      </c>
      <c r="G134" s="30" t="s">
        <v>376</v>
      </c>
      <c r="H134" s="30" t="s">
        <v>376</v>
      </c>
      <c r="I134" s="30" t="s">
        <v>376</v>
      </c>
      <c r="J134" s="30" t="s">
        <v>376</v>
      </c>
      <c r="K134" s="30" t="s">
        <v>376</v>
      </c>
      <c r="L134" s="62">
        <f>'Расчет субсидий'!P134-1</f>
        <v>0.92091388400702989</v>
      </c>
      <c r="M134" s="62">
        <f>L134*'Расчет субсидий'!Q134</f>
        <v>18.418277680140598</v>
      </c>
      <c r="N134" s="63">
        <f t="shared" si="45"/>
        <v>8.0730312209166577</v>
      </c>
      <c r="O134" s="62">
        <f>'Расчет субсидий'!R134-1</f>
        <v>0</v>
      </c>
      <c r="P134" s="62">
        <f>O134*'Расчет субсидий'!S134</f>
        <v>0</v>
      </c>
      <c r="Q134" s="63">
        <f t="shared" si="46"/>
        <v>0</v>
      </c>
      <c r="R134" s="62">
        <f>'Расчет субсидий'!V134-1</f>
        <v>0</v>
      </c>
      <c r="S134" s="62">
        <f>R134*'Расчет субсидий'!W134</f>
        <v>0</v>
      </c>
      <c r="T134" s="63">
        <f t="shared" si="47"/>
        <v>0</v>
      </c>
      <c r="U134" s="62">
        <f>'Расчет субсидий'!Z134-1</f>
        <v>0.14999999999999991</v>
      </c>
      <c r="V134" s="62">
        <f>U134*'Расчет субсидий'!AA134</f>
        <v>4.4999999999999973</v>
      </c>
      <c r="W134" s="63">
        <f t="shared" si="48"/>
        <v>1.9724233245378899</v>
      </c>
      <c r="X134" s="62">
        <f t="shared" si="38"/>
        <v>22.918277680140594</v>
      </c>
    </row>
    <row r="135" spans="1:24" ht="15" customHeight="1">
      <c r="A135" s="36" t="s">
        <v>135</v>
      </c>
      <c r="B135" s="60">
        <f>'Расчет субсидий'!AG135</f>
        <v>4.2090909090909037</v>
      </c>
      <c r="C135" s="62">
        <f>'Расчет субсидий'!D135-1</f>
        <v>-1</v>
      </c>
      <c r="D135" s="62">
        <f>C135*'Расчет субсидий'!E135</f>
        <v>0</v>
      </c>
      <c r="E135" s="63">
        <f t="shared" si="44"/>
        <v>0</v>
      </c>
      <c r="F135" s="30" t="s">
        <v>376</v>
      </c>
      <c r="G135" s="30" t="s">
        <v>376</v>
      </c>
      <c r="H135" s="30" t="s">
        <v>376</v>
      </c>
      <c r="I135" s="30" t="s">
        <v>376</v>
      </c>
      <c r="J135" s="30" t="s">
        <v>376</v>
      </c>
      <c r="K135" s="30" t="s">
        <v>376</v>
      </c>
      <c r="L135" s="62">
        <f>'Расчет субсидий'!P135-1</f>
        <v>0.48433048433048431</v>
      </c>
      <c r="M135" s="62">
        <f>L135*'Расчет субсидий'!Q135</f>
        <v>9.6866096866096854</v>
      </c>
      <c r="N135" s="63">
        <f t="shared" si="45"/>
        <v>6.1274142921270638</v>
      </c>
      <c r="O135" s="62">
        <f>'Расчет субсидий'!R135-1</f>
        <v>0</v>
      </c>
      <c r="P135" s="62">
        <f>O135*'Расчет субсидий'!S135</f>
        <v>0</v>
      </c>
      <c r="Q135" s="63">
        <f t="shared" si="46"/>
        <v>0</v>
      </c>
      <c r="R135" s="62">
        <f>'Расчет субсидий'!V135-1</f>
        <v>8.478260869565224E-2</v>
      </c>
      <c r="S135" s="62">
        <f>R135*'Расчет субсидий'!W135</f>
        <v>2.9673913043478284</v>
      </c>
      <c r="T135" s="63">
        <f t="shared" si="47"/>
        <v>1.8770691167343101</v>
      </c>
      <c r="U135" s="62">
        <f>'Расчет субсидий'!Z135-1</f>
        <v>-0.4</v>
      </c>
      <c r="V135" s="62">
        <f>U135*'Расчет субсидий'!AA135</f>
        <v>-6</v>
      </c>
      <c r="W135" s="63">
        <f t="shared" si="48"/>
        <v>-3.79539249977047</v>
      </c>
      <c r="X135" s="62">
        <f t="shared" si="38"/>
        <v>6.6540009909575133</v>
      </c>
    </row>
    <row r="136" spans="1:24" ht="15" customHeight="1">
      <c r="A136" s="36" t="s">
        <v>136</v>
      </c>
      <c r="B136" s="60">
        <f>'Расчет субсидий'!AG136</f>
        <v>0.77272727272727337</v>
      </c>
      <c r="C136" s="62">
        <f>'Расчет субсидий'!D136-1</f>
        <v>-3.2000000000000028E-2</v>
      </c>
      <c r="D136" s="62">
        <f>C136*'Расчет субсидий'!E136</f>
        <v>-0.32000000000000028</v>
      </c>
      <c r="E136" s="63">
        <f t="shared" si="44"/>
        <v>-0.19161300486772476</v>
      </c>
      <c r="F136" s="30" t="s">
        <v>376</v>
      </c>
      <c r="G136" s="30" t="s">
        <v>376</v>
      </c>
      <c r="H136" s="30" t="s">
        <v>376</v>
      </c>
      <c r="I136" s="30" t="s">
        <v>376</v>
      </c>
      <c r="J136" s="30" t="s">
        <v>376</v>
      </c>
      <c r="K136" s="30" t="s">
        <v>376</v>
      </c>
      <c r="L136" s="62">
        <f>'Расчет субсидий'!P136-1</f>
        <v>3.9288361749443945E-2</v>
      </c>
      <c r="M136" s="62">
        <f>L136*'Расчет субсидий'!Q136</f>
        <v>0.7857672349888789</v>
      </c>
      <c r="N136" s="63">
        <f t="shared" si="45"/>
        <v>0.47051006569632048</v>
      </c>
      <c r="O136" s="62">
        <f>'Расчет субсидий'!R136-1</f>
        <v>0</v>
      </c>
      <c r="P136" s="62">
        <f>O136*'Расчет субсидий'!S136</f>
        <v>0</v>
      </c>
      <c r="Q136" s="63">
        <f t="shared" si="46"/>
        <v>0</v>
      </c>
      <c r="R136" s="62">
        <f>'Расчет субсидий'!V136-1</f>
        <v>0.15689655172413786</v>
      </c>
      <c r="S136" s="62">
        <f>R136*'Расчет субсидий'!W136</f>
        <v>5.4913793103448247</v>
      </c>
      <c r="T136" s="63">
        <f t="shared" si="47"/>
        <v>3.288186532886328</v>
      </c>
      <c r="U136" s="62">
        <f>'Расчет субсидий'!Z136-1</f>
        <v>-0.31111111111111112</v>
      </c>
      <c r="V136" s="62">
        <f>U136*'Расчет субсидий'!AA136</f>
        <v>-4.666666666666667</v>
      </c>
      <c r="W136" s="63">
        <f t="shared" si="48"/>
        <v>-2.7943563209876507</v>
      </c>
      <c r="X136" s="62">
        <f t="shared" si="38"/>
        <v>1.2904798786670364</v>
      </c>
    </row>
    <row r="137" spans="1:24" ht="15" customHeight="1">
      <c r="A137" s="36" t="s">
        <v>137</v>
      </c>
      <c r="B137" s="60">
        <f>'Расчет субсидий'!AG137</f>
        <v>26.590909090909093</v>
      </c>
      <c r="C137" s="62">
        <f>'Расчет субсидий'!D137-1</f>
        <v>-1</v>
      </c>
      <c r="D137" s="62">
        <f>C137*'Расчет субсидий'!E137</f>
        <v>0</v>
      </c>
      <c r="E137" s="63">
        <f t="shared" si="44"/>
        <v>0</v>
      </c>
      <c r="F137" s="30" t="s">
        <v>376</v>
      </c>
      <c r="G137" s="30" t="s">
        <v>376</v>
      </c>
      <c r="H137" s="30" t="s">
        <v>376</v>
      </c>
      <c r="I137" s="30" t="s">
        <v>376</v>
      </c>
      <c r="J137" s="30" t="s">
        <v>376</v>
      </c>
      <c r="K137" s="30" t="s">
        <v>376</v>
      </c>
      <c r="L137" s="62">
        <f>'Расчет субсидий'!P137-1</f>
        <v>0.10725720384204895</v>
      </c>
      <c r="M137" s="62">
        <f>L137*'Расчет субсидий'!Q137</f>
        <v>2.1451440768409791</v>
      </c>
      <c r="N137" s="63">
        <f t="shared" si="45"/>
        <v>3.1576617124426916</v>
      </c>
      <c r="O137" s="62">
        <f>'Расчет субсидий'!R137-1</f>
        <v>0</v>
      </c>
      <c r="P137" s="62">
        <f>O137*'Расчет субсидий'!S137</f>
        <v>0</v>
      </c>
      <c r="Q137" s="63">
        <f t="shared" si="46"/>
        <v>0</v>
      </c>
      <c r="R137" s="62">
        <f>'Расчет субсидий'!V137-1</f>
        <v>0.12626506024096384</v>
      </c>
      <c r="S137" s="62">
        <f>R137*'Расчет субсидий'!W137</f>
        <v>4.4192771084337341</v>
      </c>
      <c r="T137" s="63">
        <f t="shared" si="47"/>
        <v>6.5051957454185088</v>
      </c>
      <c r="U137" s="62">
        <f>'Расчет субсидий'!Z137-1</f>
        <v>0.76666666666666661</v>
      </c>
      <c r="V137" s="62">
        <f>U137*'Расчет субсидий'!AA137</f>
        <v>11.5</v>
      </c>
      <c r="W137" s="63">
        <f t="shared" si="48"/>
        <v>16.928051633047893</v>
      </c>
      <c r="X137" s="62">
        <f t="shared" si="38"/>
        <v>18.064421185274714</v>
      </c>
    </row>
    <row r="138" spans="1:24" ht="15" customHeight="1">
      <c r="A138" s="36" t="s">
        <v>138</v>
      </c>
      <c r="B138" s="60">
        <f>'Расчет субсидий'!AG138</f>
        <v>-27.936363636363637</v>
      </c>
      <c r="C138" s="62">
        <f>'Расчет субсидий'!D138-1</f>
        <v>-1</v>
      </c>
      <c r="D138" s="62">
        <f>C138*'Расчет субсидий'!E138</f>
        <v>0</v>
      </c>
      <c r="E138" s="63">
        <f t="shared" si="44"/>
        <v>0</v>
      </c>
      <c r="F138" s="30" t="s">
        <v>376</v>
      </c>
      <c r="G138" s="30" t="s">
        <v>376</v>
      </c>
      <c r="H138" s="30" t="s">
        <v>376</v>
      </c>
      <c r="I138" s="30" t="s">
        <v>376</v>
      </c>
      <c r="J138" s="30" t="s">
        <v>376</v>
      </c>
      <c r="K138" s="30" t="s">
        <v>376</v>
      </c>
      <c r="L138" s="62">
        <f>'Расчет субсидий'!P138-1</f>
        <v>-0.32301690507152148</v>
      </c>
      <c r="M138" s="62">
        <f>L138*'Расчет субсидий'!Q138</f>
        <v>-6.4603381014304295</v>
      </c>
      <c r="N138" s="63">
        <f t="shared" si="45"/>
        <v>-6.0576070596264389</v>
      </c>
      <c r="O138" s="62">
        <f>'Расчет субсидий'!R138-1</f>
        <v>0</v>
      </c>
      <c r="P138" s="62">
        <f>O138*'Расчет субсидий'!S138</f>
        <v>0</v>
      </c>
      <c r="Q138" s="63">
        <f t="shared" si="46"/>
        <v>0</v>
      </c>
      <c r="R138" s="62">
        <f>'Расчет субсидий'!V138-1</f>
        <v>0</v>
      </c>
      <c r="S138" s="62">
        <f>R138*'Расчет субсидий'!W138</f>
        <v>0</v>
      </c>
      <c r="T138" s="63">
        <f t="shared" si="47"/>
        <v>0</v>
      </c>
      <c r="U138" s="62">
        <f>'Расчет субсидий'!Z138-1</f>
        <v>-0.93333333333333335</v>
      </c>
      <c r="V138" s="62">
        <f>U138*'Расчет субсидий'!AA138</f>
        <v>-23.333333333333332</v>
      </c>
      <c r="W138" s="63">
        <f t="shared" si="48"/>
        <v>-21.878756576737199</v>
      </c>
      <c r="X138" s="62">
        <f t="shared" si="38"/>
        <v>-29.793671434763763</v>
      </c>
    </row>
    <row r="139" spans="1:24" ht="15" customHeight="1">
      <c r="A139" s="35" t="s">
        <v>139</v>
      </c>
      <c r="B139" s="64"/>
      <c r="C139" s="65"/>
      <c r="D139" s="65"/>
      <c r="E139" s="66"/>
      <c r="F139" s="65"/>
      <c r="G139" s="65"/>
      <c r="H139" s="66"/>
      <c r="I139" s="66"/>
      <c r="J139" s="66"/>
      <c r="K139" s="66"/>
      <c r="L139" s="65"/>
      <c r="M139" s="65"/>
      <c r="N139" s="66"/>
      <c r="O139" s="65"/>
      <c r="P139" s="65"/>
      <c r="Q139" s="66"/>
      <c r="R139" s="65"/>
      <c r="S139" s="65"/>
      <c r="T139" s="66"/>
      <c r="U139" s="65"/>
      <c r="V139" s="65"/>
      <c r="W139" s="66"/>
      <c r="X139" s="66"/>
    </row>
    <row r="140" spans="1:24" ht="15" customHeight="1">
      <c r="A140" s="36" t="s">
        <v>140</v>
      </c>
      <c r="B140" s="60">
        <f>'Расчет субсидий'!AG140</f>
        <v>4.863636363636374</v>
      </c>
      <c r="C140" s="62">
        <f>'Расчет субсидий'!D140-1</f>
        <v>-1</v>
      </c>
      <c r="D140" s="62">
        <f>C140*'Расчет субсидий'!E140</f>
        <v>0</v>
      </c>
      <c r="E140" s="63">
        <f t="shared" ref="E140:E145" si="49">$B140*D140/$X140</f>
        <v>0</v>
      </c>
      <c r="F140" s="30" t="s">
        <v>376</v>
      </c>
      <c r="G140" s="30" t="s">
        <v>376</v>
      </c>
      <c r="H140" s="30" t="s">
        <v>376</v>
      </c>
      <c r="I140" s="30" t="s">
        <v>376</v>
      </c>
      <c r="J140" s="30" t="s">
        <v>376</v>
      </c>
      <c r="K140" s="30" t="s">
        <v>376</v>
      </c>
      <c r="L140" s="62">
        <f>'Расчет субсидий'!P140-1</f>
        <v>-8.1550587099887495E-2</v>
      </c>
      <c r="M140" s="62">
        <f>L140*'Расчет субсидий'!Q140</f>
        <v>-1.6310117419977499</v>
      </c>
      <c r="N140" s="63">
        <f t="shared" ref="N140:N145" si="50">$B140*M140/$X140</f>
        <v>-3.3485383437855067</v>
      </c>
      <c r="O140" s="62">
        <f>'Расчет субсидий'!R140-1</f>
        <v>0</v>
      </c>
      <c r="P140" s="62">
        <f>O140*'Расчет субсидий'!S140</f>
        <v>0</v>
      </c>
      <c r="Q140" s="63">
        <f t="shared" ref="Q140:Q145" si="51">$B140*P140/$X140</f>
        <v>0</v>
      </c>
      <c r="R140" s="62">
        <f>'Расчет субсидий'!V140-1</f>
        <v>0</v>
      </c>
      <c r="S140" s="62">
        <f>R140*'Расчет субсидий'!W140</f>
        <v>0</v>
      </c>
      <c r="T140" s="63">
        <f t="shared" ref="T140:T145" si="52">$B140*S140/$X140</f>
        <v>0</v>
      </c>
      <c r="U140" s="62">
        <f>'Расчет субсидий'!Z140-1</f>
        <v>0.19999999999999996</v>
      </c>
      <c r="V140" s="62">
        <f>U140*'Расчет субсидий'!AA140</f>
        <v>3.9999999999999991</v>
      </c>
      <c r="W140" s="63">
        <f t="shared" ref="W140:W145" si="53">$B140*V140/$X140</f>
        <v>8.2121747074218803</v>
      </c>
      <c r="X140" s="62">
        <f t="shared" si="38"/>
        <v>2.3689882580022492</v>
      </c>
    </row>
    <row r="141" spans="1:24" ht="15" customHeight="1">
      <c r="A141" s="36" t="s">
        <v>141</v>
      </c>
      <c r="B141" s="60">
        <f>'Расчет субсидий'!AG141</f>
        <v>-8</v>
      </c>
      <c r="C141" s="62">
        <f>'Расчет субсидий'!D141-1</f>
        <v>-1</v>
      </c>
      <c r="D141" s="62">
        <f>C141*'Расчет субсидий'!E141</f>
        <v>0</v>
      </c>
      <c r="E141" s="63">
        <f t="shared" si="49"/>
        <v>0</v>
      </c>
      <c r="F141" s="30" t="s">
        <v>376</v>
      </c>
      <c r="G141" s="30" t="s">
        <v>376</v>
      </c>
      <c r="H141" s="30" t="s">
        <v>376</v>
      </c>
      <c r="I141" s="30" t="s">
        <v>376</v>
      </c>
      <c r="J141" s="30" t="s">
        <v>376</v>
      </c>
      <c r="K141" s="30" t="s">
        <v>376</v>
      </c>
      <c r="L141" s="62">
        <f>'Расчет субсидий'!P141-1</f>
        <v>-0.79396551724137931</v>
      </c>
      <c r="M141" s="62">
        <f>L141*'Расчет субсидий'!Q141</f>
        <v>-15.879310344827587</v>
      </c>
      <c r="N141" s="63">
        <f t="shared" si="50"/>
        <v>-38.197370857248671</v>
      </c>
      <c r="O141" s="62">
        <f>'Расчет субсидий'!R141-1</f>
        <v>0</v>
      </c>
      <c r="P141" s="62">
        <f>O141*'Расчет субсидий'!S141</f>
        <v>0</v>
      </c>
      <c r="Q141" s="63">
        <f t="shared" si="51"/>
        <v>0</v>
      </c>
      <c r="R141" s="62">
        <f>'Расчет субсидий'!V141-1</f>
        <v>0.17500000000000004</v>
      </c>
      <c r="S141" s="62">
        <f>R141*'Расчет субсидий'!W141</f>
        <v>6.1250000000000018</v>
      </c>
      <c r="T141" s="63">
        <f t="shared" si="52"/>
        <v>14.73356785780412</v>
      </c>
      <c r="U141" s="62">
        <f>'Расчет субсидий'!Z141-1</f>
        <v>0.4285714285714286</v>
      </c>
      <c r="V141" s="62">
        <f>U141*'Расчет субсидий'!AA141</f>
        <v>6.4285714285714288</v>
      </c>
      <c r="W141" s="63">
        <f t="shared" si="53"/>
        <v>15.463802999444553</v>
      </c>
      <c r="X141" s="62">
        <f t="shared" si="38"/>
        <v>-3.3257389162561566</v>
      </c>
    </row>
    <row r="142" spans="1:24" ht="15" customHeight="1">
      <c r="A142" s="36" t="s">
        <v>142</v>
      </c>
      <c r="B142" s="60">
        <f>'Расчет субсидий'!AG142</f>
        <v>106.72727272727275</v>
      </c>
      <c r="C142" s="62">
        <f>'Расчет субсидий'!D142-1</f>
        <v>-1</v>
      </c>
      <c r="D142" s="62">
        <f>C142*'Расчет субсидий'!E142</f>
        <v>0</v>
      </c>
      <c r="E142" s="63">
        <f t="shared" si="49"/>
        <v>0</v>
      </c>
      <c r="F142" s="30" t="s">
        <v>376</v>
      </c>
      <c r="G142" s="30" t="s">
        <v>376</v>
      </c>
      <c r="H142" s="30" t="s">
        <v>376</v>
      </c>
      <c r="I142" s="30" t="s">
        <v>376</v>
      </c>
      <c r="J142" s="30" t="s">
        <v>376</v>
      </c>
      <c r="K142" s="30" t="s">
        <v>376</v>
      </c>
      <c r="L142" s="62">
        <f>'Расчет субсидий'!P142-1</f>
        <v>3.1648511256354395</v>
      </c>
      <c r="M142" s="62">
        <f>L142*'Расчет субсидий'!Q142</f>
        <v>63.297022512708793</v>
      </c>
      <c r="N142" s="63">
        <f t="shared" si="50"/>
        <v>84.306609064832557</v>
      </c>
      <c r="O142" s="62">
        <f>'Расчет субсидий'!R142-1</f>
        <v>0</v>
      </c>
      <c r="P142" s="62">
        <f>O142*'Расчет субсидий'!S142</f>
        <v>0</v>
      </c>
      <c r="Q142" s="63">
        <f t="shared" si="51"/>
        <v>0</v>
      </c>
      <c r="R142" s="62">
        <f>'Расчет субсидий'!V142-1</f>
        <v>0.1166666666666667</v>
      </c>
      <c r="S142" s="62">
        <f>R142*'Расчет субсидий'!W142</f>
        <v>3.5000000000000009</v>
      </c>
      <c r="T142" s="63">
        <f t="shared" si="52"/>
        <v>4.6617221476360786</v>
      </c>
      <c r="U142" s="62">
        <f>'Расчет субсидий'!Z142-1</f>
        <v>0.66666666666666674</v>
      </c>
      <c r="V142" s="62">
        <f>U142*'Расчет субсидий'!AA142</f>
        <v>13.333333333333336</v>
      </c>
      <c r="W142" s="63">
        <f t="shared" si="53"/>
        <v>17.758941514804103</v>
      </c>
      <c r="X142" s="62">
        <f t="shared" si="38"/>
        <v>80.130355846042136</v>
      </c>
    </row>
    <row r="143" spans="1:24" ht="15" customHeight="1">
      <c r="A143" s="36" t="s">
        <v>143</v>
      </c>
      <c r="B143" s="60">
        <f>'Расчет субсидий'!AG143</f>
        <v>39.572727272727263</v>
      </c>
      <c r="C143" s="62">
        <f>'Расчет субсидий'!D143-1</f>
        <v>-0.12611156022635406</v>
      </c>
      <c r="D143" s="62">
        <f>C143*'Расчет субсидий'!E143</f>
        <v>-1.2611156022635406</v>
      </c>
      <c r="E143" s="63">
        <f t="shared" si="49"/>
        <v>-5.1767715526567839</v>
      </c>
      <c r="F143" s="30" t="s">
        <v>376</v>
      </c>
      <c r="G143" s="30" t="s">
        <v>376</v>
      </c>
      <c r="H143" s="30" t="s">
        <v>376</v>
      </c>
      <c r="I143" s="30" t="s">
        <v>376</v>
      </c>
      <c r="J143" s="30" t="s">
        <v>376</v>
      </c>
      <c r="K143" s="30" t="s">
        <v>376</v>
      </c>
      <c r="L143" s="62">
        <f>'Расчет субсидий'!P143-1</f>
        <v>0.29507225775882473</v>
      </c>
      <c r="M143" s="62">
        <f>L143*'Расчет субсидий'!Q143</f>
        <v>5.9014451551764946</v>
      </c>
      <c r="N143" s="63">
        <f t="shared" si="50"/>
        <v>24.224926996421082</v>
      </c>
      <c r="O143" s="62">
        <f>'Расчет субсидий'!R143-1</f>
        <v>0</v>
      </c>
      <c r="P143" s="62">
        <f>O143*'Расчет субсидий'!S143</f>
        <v>0</v>
      </c>
      <c r="Q143" s="63">
        <f t="shared" si="51"/>
        <v>0</v>
      </c>
      <c r="R143" s="62">
        <f>'Расчет субсидий'!V143-1</f>
        <v>0</v>
      </c>
      <c r="S143" s="62">
        <f>R143*'Расчет субсидий'!W143</f>
        <v>0</v>
      </c>
      <c r="T143" s="63">
        <f t="shared" si="52"/>
        <v>0</v>
      </c>
      <c r="U143" s="62">
        <f>'Расчет субсидий'!Z143-1</f>
        <v>0.16666666666666674</v>
      </c>
      <c r="V143" s="62">
        <f>U143*'Расчет субсидий'!AA143</f>
        <v>5.0000000000000018</v>
      </c>
      <c r="W143" s="63">
        <f t="shared" si="53"/>
        <v>20.524571828962962</v>
      </c>
      <c r="X143" s="62">
        <f t="shared" si="38"/>
        <v>9.6403295529129558</v>
      </c>
    </row>
    <row r="144" spans="1:24" ht="15" customHeight="1">
      <c r="A144" s="36" t="s">
        <v>144</v>
      </c>
      <c r="B144" s="60">
        <f>'Расчет субсидий'!AG144</f>
        <v>-0.59090909090909349</v>
      </c>
      <c r="C144" s="62">
        <f>'Расчет субсидий'!D144-1</f>
        <v>1.1235955056179803E-2</v>
      </c>
      <c r="D144" s="62">
        <f>C144*'Расчет субсидий'!E144</f>
        <v>0.11235955056179803</v>
      </c>
      <c r="E144" s="63">
        <f t="shared" si="49"/>
        <v>0.20115775697171029</v>
      </c>
      <c r="F144" s="30" t="s">
        <v>376</v>
      </c>
      <c r="G144" s="30" t="s">
        <v>376</v>
      </c>
      <c r="H144" s="30" t="s">
        <v>376</v>
      </c>
      <c r="I144" s="30" t="s">
        <v>376</v>
      </c>
      <c r="J144" s="30" t="s">
        <v>376</v>
      </c>
      <c r="K144" s="30" t="s">
        <v>376</v>
      </c>
      <c r="L144" s="62">
        <f>'Расчет субсидий'!P144-1</f>
        <v>-2.2121014964216146E-2</v>
      </c>
      <c r="M144" s="62">
        <f>L144*'Расчет субсидий'!Q144</f>
        <v>-0.44242029928432292</v>
      </c>
      <c r="N144" s="63">
        <f t="shared" si="50"/>
        <v>-0.79206684788080384</v>
      </c>
      <c r="O144" s="62">
        <f>'Расчет субсидий'!R144-1</f>
        <v>0</v>
      </c>
      <c r="P144" s="62">
        <f>O144*'Расчет субсидий'!S144</f>
        <v>0</v>
      </c>
      <c r="Q144" s="63">
        <f t="shared" si="51"/>
        <v>0</v>
      </c>
      <c r="R144" s="62">
        <f>'Расчет субсидий'!V144-1</f>
        <v>0</v>
      </c>
      <c r="S144" s="62">
        <f>R144*'Расчет субсидий'!W144</f>
        <v>0</v>
      </c>
      <c r="T144" s="63">
        <f t="shared" si="52"/>
        <v>0</v>
      </c>
      <c r="U144" s="62">
        <f>'Расчет субсидий'!Z144-1</f>
        <v>0</v>
      </c>
      <c r="V144" s="62">
        <f>U144*'Расчет субсидий'!AA144</f>
        <v>0</v>
      </c>
      <c r="W144" s="63">
        <f t="shared" si="53"/>
        <v>0</v>
      </c>
      <c r="X144" s="62">
        <f t="shared" si="38"/>
        <v>-0.33006074872252489</v>
      </c>
    </row>
    <row r="145" spans="1:24" ht="15" customHeight="1">
      <c r="A145" s="36" t="s">
        <v>145</v>
      </c>
      <c r="B145" s="60">
        <f>'Расчет субсидий'!AG145</f>
        <v>32.800000000000011</v>
      </c>
      <c r="C145" s="62">
        <f>'Расчет субсидий'!D145-1</f>
        <v>-1</v>
      </c>
      <c r="D145" s="62">
        <f>C145*'Расчет субсидий'!E145</f>
        <v>0</v>
      </c>
      <c r="E145" s="63">
        <f t="shared" si="49"/>
        <v>0</v>
      </c>
      <c r="F145" s="30" t="s">
        <v>376</v>
      </c>
      <c r="G145" s="30" t="s">
        <v>376</v>
      </c>
      <c r="H145" s="30" t="s">
        <v>376</v>
      </c>
      <c r="I145" s="30" t="s">
        <v>376</v>
      </c>
      <c r="J145" s="30" t="s">
        <v>376</v>
      </c>
      <c r="K145" s="30" t="s">
        <v>376</v>
      </c>
      <c r="L145" s="62">
        <f>'Расчет субсидий'!P145-1</f>
        <v>-0.27759197324414708</v>
      </c>
      <c r="M145" s="62">
        <f>L145*'Расчет субсидий'!Q145</f>
        <v>-5.5518394648829421</v>
      </c>
      <c r="N145" s="63">
        <f t="shared" si="50"/>
        <v>-19.273628318584073</v>
      </c>
      <c r="O145" s="62">
        <f>'Расчет субсидий'!R145-1</f>
        <v>0</v>
      </c>
      <c r="P145" s="62">
        <f>O145*'Расчет субсидий'!S145</f>
        <v>0</v>
      </c>
      <c r="Q145" s="63">
        <f t="shared" si="51"/>
        <v>0</v>
      </c>
      <c r="R145" s="62">
        <f>'Расчет субсидий'!V145-1</f>
        <v>0</v>
      </c>
      <c r="S145" s="62">
        <f>R145*'Расчет субсидий'!W145</f>
        <v>0</v>
      </c>
      <c r="T145" s="63">
        <f t="shared" si="52"/>
        <v>0</v>
      </c>
      <c r="U145" s="62">
        <f>'Расчет субсидий'!Z145-1</f>
        <v>1</v>
      </c>
      <c r="V145" s="62">
        <f>U145*'Расчет субсидий'!AA145</f>
        <v>15</v>
      </c>
      <c r="W145" s="63">
        <f t="shared" si="53"/>
        <v>52.073628318584085</v>
      </c>
      <c r="X145" s="62">
        <f t="shared" si="38"/>
        <v>9.4481605351170579</v>
      </c>
    </row>
    <row r="146" spans="1:24" ht="15" customHeight="1">
      <c r="A146" s="35" t="s">
        <v>146</v>
      </c>
      <c r="B146" s="64"/>
      <c r="C146" s="65"/>
      <c r="D146" s="65"/>
      <c r="E146" s="66"/>
      <c r="F146" s="65"/>
      <c r="G146" s="65"/>
      <c r="H146" s="66"/>
      <c r="I146" s="66"/>
      <c r="J146" s="66"/>
      <c r="K146" s="66"/>
      <c r="L146" s="65"/>
      <c r="M146" s="65"/>
      <c r="N146" s="66"/>
      <c r="O146" s="65"/>
      <c r="P146" s="65"/>
      <c r="Q146" s="66"/>
      <c r="R146" s="65"/>
      <c r="S146" s="65"/>
      <c r="T146" s="66"/>
      <c r="U146" s="65"/>
      <c r="V146" s="65"/>
      <c r="W146" s="66"/>
      <c r="X146" s="66"/>
    </row>
    <row r="147" spans="1:24" ht="15" customHeight="1">
      <c r="A147" s="36" t="s">
        <v>147</v>
      </c>
      <c r="B147" s="60">
        <f>'Расчет субсидий'!AG147</f>
        <v>57.472727272727269</v>
      </c>
      <c r="C147" s="62">
        <f>'Расчет субсидий'!D147-1</f>
        <v>1.7344753747323471E-2</v>
      </c>
      <c r="D147" s="62">
        <f>C147*'Расчет субсидий'!E147</f>
        <v>0.17344753747323471</v>
      </c>
      <c r="E147" s="63">
        <f t="shared" ref="E147:E158" si="54">$B147*D147/$X147</f>
        <v>6.6306478554552711E-2</v>
      </c>
      <c r="F147" s="30" t="s">
        <v>376</v>
      </c>
      <c r="G147" s="30" t="s">
        <v>376</v>
      </c>
      <c r="H147" s="30" t="s">
        <v>376</v>
      </c>
      <c r="I147" s="30" t="s">
        <v>376</v>
      </c>
      <c r="J147" s="30" t="s">
        <v>376</v>
      </c>
      <c r="K147" s="30" t="s">
        <v>376</v>
      </c>
      <c r="L147" s="62">
        <f>'Расчет субсидий'!P147-1</f>
        <v>-0.691682156133829</v>
      </c>
      <c r="M147" s="62">
        <f>L147*'Расчет субсидий'!Q147</f>
        <v>-13.83364312267658</v>
      </c>
      <c r="N147" s="63">
        <f t="shared" ref="N147:N158" si="55">$B147*M147/$X147</f>
        <v>-5.2884011754080724</v>
      </c>
      <c r="O147" s="62">
        <f>'Расчет субсидий'!R147-1</f>
        <v>0</v>
      </c>
      <c r="P147" s="62">
        <f>O147*'Расчет субсидий'!S147</f>
        <v>0</v>
      </c>
      <c r="Q147" s="63">
        <f t="shared" ref="Q147:Q158" si="56">$B147*P147/$X147</f>
        <v>0</v>
      </c>
      <c r="R147" s="62">
        <f>'Расчет субсидий'!V147-1</f>
        <v>7.9</v>
      </c>
      <c r="S147" s="62">
        <f>R147*'Расчет субсидий'!W147</f>
        <v>158</v>
      </c>
      <c r="T147" s="63">
        <f t="shared" ref="T147:T158" si="57">$B147*S147/$X147</f>
        <v>60.401108970693691</v>
      </c>
      <c r="U147" s="62">
        <f>'Расчет субсидий'!Z147-1</f>
        <v>0.19999999999999996</v>
      </c>
      <c r="V147" s="62">
        <f>U147*'Расчет субсидий'!AA147</f>
        <v>5.9999999999999982</v>
      </c>
      <c r="W147" s="63">
        <f t="shared" ref="W147:W158" si="58">$B147*V147/$X147</f>
        <v>2.2937129988871012</v>
      </c>
      <c r="X147" s="62">
        <f t="shared" si="38"/>
        <v>150.33980441479665</v>
      </c>
    </row>
    <row r="148" spans="1:24" ht="15" customHeight="1">
      <c r="A148" s="36" t="s">
        <v>148</v>
      </c>
      <c r="B148" s="60">
        <f>'Расчет субсидий'!AG148</f>
        <v>-12.88181818181819</v>
      </c>
      <c r="C148" s="62">
        <f>'Расчет субсидий'!D148-1</f>
        <v>2.3809523809523725E-2</v>
      </c>
      <c r="D148" s="62">
        <f>C148*'Расчет субсидий'!E148</f>
        <v>0.23809523809523725</v>
      </c>
      <c r="E148" s="63">
        <f t="shared" si="54"/>
        <v>0.21118219629562268</v>
      </c>
      <c r="F148" s="30" t="s">
        <v>376</v>
      </c>
      <c r="G148" s="30" t="s">
        <v>376</v>
      </c>
      <c r="H148" s="30" t="s">
        <v>376</v>
      </c>
      <c r="I148" s="30" t="s">
        <v>376</v>
      </c>
      <c r="J148" s="30" t="s">
        <v>376</v>
      </c>
      <c r="K148" s="30" t="s">
        <v>376</v>
      </c>
      <c r="L148" s="62">
        <f>'Расчет субсидий'!P148-1</f>
        <v>-0.73807856369771441</v>
      </c>
      <c r="M148" s="62">
        <f>L148*'Расчет субсидий'!Q148</f>
        <v>-14.761571273954289</v>
      </c>
      <c r="N148" s="63">
        <f t="shared" si="55"/>
        <v>-13.093000378113812</v>
      </c>
      <c r="O148" s="62">
        <f>'Расчет субсидий'!R148-1</f>
        <v>0</v>
      </c>
      <c r="P148" s="62">
        <f>O148*'Расчет субсидий'!S148</f>
        <v>0</v>
      </c>
      <c r="Q148" s="63">
        <f t="shared" si="56"/>
        <v>0</v>
      </c>
      <c r="R148" s="62">
        <f>'Расчет субсидий'!V148-1</f>
        <v>0</v>
      </c>
      <c r="S148" s="62">
        <f>R148*'Расчет субсидий'!W148</f>
        <v>0</v>
      </c>
      <c r="T148" s="63">
        <f t="shared" si="57"/>
        <v>0</v>
      </c>
      <c r="U148" s="62">
        <f>'Расчет субсидий'!Z148-1</f>
        <v>0</v>
      </c>
      <c r="V148" s="62">
        <f>U148*'Расчет субсидий'!AA148</f>
        <v>0</v>
      </c>
      <c r="W148" s="63">
        <f t="shared" si="58"/>
        <v>0</v>
      </c>
      <c r="X148" s="62">
        <f t="shared" si="38"/>
        <v>-14.523476035859051</v>
      </c>
    </row>
    <row r="149" spans="1:24" ht="15" customHeight="1">
      <c r="A149" s="36" t="s">
        <v>149</v>
      </c>
      <c r="B149" s="60">
        <f>'Расчет субсидий'!AG149</f>
        <v>89.681818181818187</v>
      </c>
      <c r="C149" s="62">
        <f>'Расчет субсидий'!D149-1</f>
        <v>0.82907894736842103</v>
      </c>
      <c r="D149" s="62">
        <f>C149*'Расчет субсидий'!E149</f>
        <v>8.2907894736842103</v>
      </c>
      <c r="E149" s="63">
        <f t="shared" si="54"/>
        <v>8.2996609235510093</v>
      </c>
      <c r="F149" s="30" t="s">
        <v>376</v>
      </c>
      <c r="G149" s="30" t="s">
        <v>376</v>
      </c>
      <c r="H149" s="30" t="s">
        <v>376</v>
      </c>
      <c r="I149" s="30" t="s">
        <v>376</v>
      </c>
      <c r="J149" s="30" t="s">
        <v>376</v>
      </c>
      <c r="K149" s="30" t="s">
        <v>376</v>
      </c>
      <c r="L149" s="62">
        <f>'Расчет субсидий'!P149-1</f>
        <v>3.6957108027571266</v>
      </c>
      <c r="M149" s="62">
        <f>L149*'Расчет субсидий'!Q149</f>
        <v>73.914216055142532</v>
      </c>
      <c r="N149" s="63">
        <f t="shared" si="55"/>
        <v>73.993306986622386</v>
      </c>
      <c r="O149" s="62">
        <f>'Расчет субсидий'!R149-1</f>
        <v>0</v>
      </c>
      <c r="P149" s="62">
        <f>O149*'Расчет субсидий'!S149</f>
        <v>0</v>
      </c>
      <c r="Q149" s="63">
        <f t="shared" si="56"/>
        <v>0</v>
      </c>
      <c r="R149" s="62">
        <f>'Расчет субсидий'!V149-1</f>
        <v>0.16666666666666674</v>
      </c>
      <c r="S149" s="62">
        <f>R149*'Расчет субсидий'!W149</f>
        <v>1.6666666666666674</v>
      </c>
      <c r="T149" s="63">
        <f t="shared" si="57"/>
        <v>1.6684500613391449</v>
      </c>
      <c r="U149" s="62">
        <f>'Расчет субсидий'!Z149-1</f>
        <v>0.14285714285714302</v>
      </c>
      <c r="V149" s="62">
        <f>U149*'Расчет субсидий'!AA149</f>
        <v>5.7142857142857206</v>
      </c>
      <c r="W149" s="63">
        <f t="shared" si="58"/>
        <v>5.7204002103056428</v>
      </c>
      <c r="X149" s="62">
        <f t="shared" si="38"/>
        <v>89.58595790977914</v>
      </c>
    </row>
    <row r="150" spans="1:24" ht="15" customHeight="1">
      <c r="A150" s="36" t="s">
        <v>150</v>
      </c>
      <c r="B150" s="60">
        <f>'Расчет субсидий'!AG150</f>
        <v>-28.090909090909065</v>
      </c>
      <c r="C150" s="62">
        <f>'Расчет субсидий'!D150-1</f>
        <v>4.2337618403247568E-2</v>
      </c>
      <c r="D150" s="62">
        <f>C150*'Расчет субсидий'!E150</f>
        <v>0.42337618403247568</v>
      </c>
      <c r="E150" s="63">
        <f t="shared" si="54"/>
        <v>2.1697167048870858</v>
      </c>
      <c r="F150" s="30" t="s">
        <v>376</v>
      </c>
      <c r="G150" s="30" t="s">
        <v>376</v>
      </c>
      <c r="H150" s="30" t="s">
        <v>376</v>
      </c>
      <c r="I150" s="30" t="s">
        <v>376</v>
      </c>
      <c r="J150" s="30" t="s">
        <v>376</v>
      </c>
      <c r="K150" s="30" t="s">
        <v>376</v>
      </c>
      <c r="L150" s="62">
        <f>'Расчет субсидий'!P150-1</f>
        <v>-0.45357068498854891</v>
      </c>
      <c r="M150" s="62">
        <f>L150*'Расчет субсидий'!Q150</f>
        <v>-9.0714136997709787</v>
      </c>
      <c r="N150" s="63">
        <f t="shared" si="55"/>
        <v>-46.489147438262343</v>
      </c>
      <c r="O150" s="62">
        <f>'Расчет субсидий'!R150-1</f>
        <v>0</v>
      </c>
      <c r="P150" s="62">
        <f>O150*'Расчет субсидий'!S150</f>
        <v>0</v>
      </c>
      <c r="Q150" s="63">
        <f t="shared" si="56"/>
        <v>0</v>
      </c>
      <c r="R150" s="62">
        <f>'Расчет субсидий'!V150-1</f>
        <v>8.3333333333333481E-2</v>
      </c>
      <c r="S150" s="62">
        <f>R150*'Расчет субсидий'!W150</f>
        <v>1.6666666666666696</v>
      </c>
      <c r="T150" s="63">
        <f t="shared" si="57"/>
        <v>8.5413271802453661</v>
      </c>
      <c r="U150" s="62">
        <f>'Расчет субсидий'!Z150-1</f>
        <v>5.0000000000000044E-2</v>
      </c>
      <c r="V150" s="62">
        <f>U150*'Расчет субсидий'!AA150</f>
        <v>1.5000000000000013</v>
      </c>
      <c r="W150" s="63">
        <f t="shared" si="58"/>
        <v>7.6871944622208224</v>
      </c>
      <c r="X150" s="62">
        <f t="shared" si="38"/>
        <v>-5.4813708490718316</v>
      </c>
    </row>
    <row r="151" spans="1:24" ht="15" customHeight="1">
      <c r="A151" s="36" t="s">
        <v>151</v>
      </c>
      <c r="B151" s="60">
        <f>'Расчет субсидий'!AG151</f>
        <v>1.7818181818181813</v>
      </c>
      <c r="C151" s="62">
        <f>'Расчет субсидий'!D151-1</f>
        <v>0.40405405405405403</v>
      </c>
      <c r="D151" s="62">
        <f>C151*'Расчет субсидий'!E151</f>
        <v>4.0405405405405403</v>
      </c>
      <c r="E151" s="63">
        <f t="shared" si="54"/>
        <v>6.679583014416024</v>
      </c>
      <c r="F151" s="30" t="s">
        <v>376</v>
      </c>
      <c r="G151" s="30" t="s">
        <v>376</v>
      </c>
      <c r="H151" s="30" t="s">
        <v>376</v>
      </c>
      <c r="I151" s="30" t="s">
        <v>376</v>
      </c>
      <c r="J151" s="30" t="s">
        <v>376</v>
      </c>
      <c r="K151" s="30" t="s">
        <v>376</v>
      </c>
      <c r="L151" s="62">
        <f>'Расчет субсидий'!P151-1</f>
        <v>-0.75160227879651065</v>
      </c>
      <c r="M151" s="62">
        <f>L151*'Расчет субсидий'!Q151</f>
        <v>-15.032045575930212</v>
      </c>
      <c r="N151" s="63">
        <f t="shared" si="55"/>
        <v>-24.850090054406063</v>
      </c>
      <c r="O151" s="62">
        <f>'Расчет субсидий'!R151-1</f>
        <v>0</v>
      </c>
      <c r="P151" s="62">
        <f>O151*'Расчет субсидий'!S151</f>
        <v>0</v>
      </c>
      <c r="Q151" s="63">
        <f t="shared" si="56"/>
        <v>0</v>
      </c>
      <c r="R151" s="62">
        <f>'Расчет субсидий'!V151-1</f>
        <v>0.25912408759124084</v>
      </c>
      <c r="S151" s="62">
        <f>R151*'Расчет субсидий'!W151</f>
        <v>9.0693430656934293</v>
      </c>
      <c r="T151" s="63">
        <f t="shared" si="57"/>
        <v>14.992902381673247</v>
      </c>
      <c r="U151" s="62">
        <f>'Расчет субсидий'!Z151-1</f>
        <v>0.19999999999999996</v>
      </c>
      <c r="V151" s="62">
        <f>U151*'Расчет субсидий'!AA151</f>
        <v>2.9999999999999991</v>
      </c>
      <c r="W151" s="63">
        <f t="shared" si="58"/>
        <v>4.9594228401349731</v>
      </c>
      <c r="X151" s="62">
        <f t="shared" si="38"/>
        <v>1.0778380303037567</v>
      </c>
    </row>
    <row r="152" spans="1:24" ht="15" customHeight="1">
      <c r="A152" s="36" t="s">
        <v>152</v>
      </c>
      <c r="B152" s="60">
        <f>'Расчет субсидий'!AG152</f>
        <v>-1.6363636363636402</v>
      </c>
      <c r="C152" s="62">
        <f>'Расчет субсидий'!D152-1</f>
        <v>-1</v>
      </c>
      <c r="D152" s="62">
        <f>C152*'Расчет субсидий'!E152</f>
        <v>0</v>
      </c>
      <c r="E152" s="63">
        <f t="shared" si="54"/>
        <v>0</v>
      </c>
      <c r="F152" s="30" t="s">
        <v>376</v>
      </c>
      <c r="G152" s="30" t="s">
        <v>376</v>
      </c>
      <c r="H152" s="30" t="s">
        <v>376</v>
      </c>
      <c r="I152" s="30" t="s">
        <v>376</v>
      </c>
      <c r="J152" s="30" t="s">
        <v>376</v>
      </c>
      <c r="K152" s="30" t="s">
        <v>376</v>
      </c>
      <c r="L152" s="62">
        <f>'Расчет субсидий'!P152-1</f>
        <v>-0.55223574456447422</v>
      </c>
      <c r="M152" s="62">
        <f>L152*'Расчет субсидий'!Q152</f>
        <v>-11.044714891289484</v>
      </c>
      <c r="N152" s="63">
        <f t="shared" si="55"/>
        <v>-12.034490280775694</v>
      </c>
      <c r="O152" s="62">
        <f>'Расчет субсидий'!R152-1</f>
        <v>0</v>
      </c>
      <c r="P152" s="62">
        <f>O152*'Расчет субсидий'!S152</f>
        <v>0</v>
      </c>
      <c r="Q152" s="63">
        <f t="shared" si="56"/>
        <v>0</v>
      </c>
      <c r="R152" s="62">
        <f>'Расчет субсидий'!V152-1</f>
        <v>0.19230769230769229</v>
      </c>
      <c r="S152" s="62">
        <f>R152*'Расчет субсидий'!W152</f>
        <v>0.96153846153846145</v>
      </c>
      <c r="T152" s="63">
        <f t="shared" si="57"/>
        <v>1.0477070149726271</v>
      </c>
      <c r="U152" s="62">
        <f>'Расчет субсидий'!Z152-1</f>
        <v>0.19069767441860463</v>
      </c>
      <c r="V152" s="62">
        <f>U152*'Расчет субсидий'!AA152</f>
        <v>8.5813953488372086</v>
      </c>
      <c r="W152" s="63">
        <f t="shared" si="58"/>
        <v>9.3504196294394273</v>
      </c>
      <c r="X152" s="62">
        <f t="shared" si="38"/>
        <v>-1.5017810809138137</v>
      </c>
    </row>
    <row r="153" spans="1:24" ht="15" customHeight="1">
      <c r="A153" s="36" t="s">
        <v>153</v>
      </c>
      <c r="B153" s="60">
        <f>'Расчет субсидий'!AG153</f>
        <v>70.954545454545496</v>
      </c>
      <c r="C153" s="62">
        <f>'Расчет субсидий'!D153-1</f>
        <v>0.12025294117647056</v>
      </c>
      <c r="D153" s="62">
        <f>C153*'Расчет субсидий'!E153</f>
        <v>1.2025294117647056</v>
      </c>
      <c r="E153" s="63">
        <f t="shared" si="54"/>
        <v>7.0237798511081282</v>
      </c>
      <c r="F153" s="30" t="s">
        <v>376</v>
      </c>
      <c r="G153" s="30" t="s">
        <v>376</v>
      </c>
      <c r="H153" s="30" t="s">
        <v>376</v>
      </c>
      <c r="I153" s="30" t="s">
        <v>376</v>
      </c>
      <c r="J153" s="30" t="s">
        <v>376</v>
      </c>
      <c r="K153" s="30" t="s">
        <v>376</v>
      </c>
      <c r="L153" s="62">
        <f>'Расчет субсидий'!P153-1</f>
        <v>-0.46772611340003922</v>
      </c>
      <c r="M153" s="62">
        <f>L153*'Расчет субсидий'!Q153</f>
        <v>-9.3545222680007853</v>
      </c>
      <c r="N153" s="63">
        <f t="shared" si="55"/>
        <v>-54.638251987787804</v>
      </c>
      <c r="O153" s="62">
        <f>'Расчет субсидий'!R153-1</f>
        <v>0</v>
      </c>
      <c r="P153" s="62">
        <f>O153*'Расчет субсидий'!S153</f>
        <v>0</v>
      </c>
      <c r="Q153" s="63">
        <f t="shared" si="56"/>
        <v>0</v>
      </c>
      <c r="R153" s="62">
        <f>'Расчет субсидий'!V153-1</f>
        <v>0</v>
      </c>
      <c r="S153" s="62">
        <f>R153*'Расчет субсидий'!W153</f>
        <v>0</v>
      </c>
      <c r="T153" s="63">
        <f t="shared" si="57"/>
        <v>0</v>
      </c>
      <c r="U153" s="62">
        <f>'Расчет субсидий'!Z153-1</f>
        <v>0.58000000000000007</v>
      </c>
      <c r="V153" s="62">
        <f>U153*'Расчет субсидий'!AA153</f>
        <v>20.300000000000004</v>
      </c>
      <c r="W153" s="63">
        <f t="shared" si="58"/>
        <v>118.56901759122518</v>
      </c>
      <c r="X153" s="62">
        <f t="shared" si="38"/>
        <v>12.148007143763925</v>
      </c>
    </row>
    <row r="154" spans="1:24" ht="15" customHeight="1">
      <c r="A154" s="36" t="s">
        <v>154</v>
      </c>
      <c r="B154" s="60">
        <f>'Расчет субсидий'!AG154</f>
        <v>-24.045454545454533</v>
      </c>
      <c r="C154" s="62">
        <f>'Расчет субсидий'!D154-1</f>
        <v>8.7603305785123986E-2</v>
      </c>
      <c r="D154" s="62">
        <f>C154*'Расчет субсидий'!E154</f>
        <v>0.87603305785123986</v>
      </c>
      <c r="E154" s="63">
        <f t="shared" si="54"/>
        <v>1.2306057758526621</v>
      </c>
      <c r="F154" s="30" t="s">
        <v>376</v>
      </c>
      <c r="G154" s="30" t="s">
        <v>376</v>
      </c>
      <c r="H154" s="30" t="s">
        <v>376</v>
      </c>
      <c r="I154" s="30" t="s">
        <v>376</v>
      </c>
      <c r="J154" s="30" t="s">
        <v>376</v>
      </c>
      <c r="K154" s="30" t="s">
        <v>376</v>
      </c>
      <c r="L154" s="62">
        <f>'Расчет субсидий'!P154-1</f>
        <v>-0.95857826723218498</v>
      </c>
      <c r="M154" s="62">
        <f>L154*'Расчет субсидий'!Q154</f>
        <v>-19.1715653446437</v>
      </c>
      <c r="N154" s="63">
        <f t="shared" si="55"/>
        <v>-26.931220042225348</v>
      </c>
      <c r="O154" s="62">
        <f>'Расчет субсидий'!R154-1</f>
        <v>0</v>
      </c>
      <c r="P154" s="62">
        <f>O154*'Расчет субсидий'!S154</f>
        <v>0</v>
      </c>
      <c r="Q154" s="63">
        <f t="shared" si="56"/>
        <v>0</v>
      </c>
      <c r="R154" s="62">
        <f>'Расчет субсидий'!V154-1</f>
        <v>2.6521739130434652E-2</v>
      </c>
      <c r="S154" s="62">
        <f>R154*'Расчет субсидий'!W154</f>
        <v>0.92826086956521281</v>
      </c>
      <c r="T154" s="63">
        <f t="shared" si="57"/>
        <v>1.3039726952620829</v>
      </c>
      <c r="U154" s="62">
        <f>'Расчет субсидий'!Z154-1</f>
        <v>1.6666666666666607E-2</v>
      </c>
      <c r="V154" s="62">
        <f>U154*'Расчет субсидий'!AA154</f>
        <v>0.24999999999999911</v>
      </c>
      <c r="W154" s="63">
        <f t="shared" si="58"/>
        <v>0.35118702565606497</v>
      </c>
      <c r="X154" s="62">
        <f t="shared" si="38"/>
        <v>-17.117271417227244</v>
      </c>
    </row>
    <row r="155" spans="1:24" ht="15" customHeight="1">
      <c r="A155" s="36" t="s">
        <v>155</v>
      </c>
      <c r="B155" s="60">
        <f>'Расчет субсидий'!AG155</f>
        <v>-9.9272727272727082</v>
      </c>
      <c r="C155" s="62">
        <f>'Расчет субсидий'!D155-1</f>
        <v>2.9841950174122722E-2</v>
      </c>
      <c r="D155" s="62">
        <f>C155*'Расчет субсидий'!E155</f>
        <v>0.29841950174122722</v>
      </c>
      <c r="E155" s="63">
        <f t="shared" si="54"/>
        <v>0.70867995697167185</v>
      </c>
      <c r="F155" s="30" t="s">
        <v>376</v>
      </c>
      <c r="G155" s="30" t="s">
        <v>376</v>
      </c>
      <c r="H155" s="30" t="s">
        <v>376</v>
      </c>
      <c r="I155" s="30" t="s">
        <v>376</v>
      </c>
      <c r="J155" s="30" t="s">
        <v>376</v>
      </c>
      <c r="K155" s="30" t="s">
        <v>376</v>
      </c>
      <c r="L155" s="62">
        <f>'Расчет субсидий'!P155-1</f>
        <v>-0.84893576037754026</v>
      </c>
      <c r="M155" s="62">
        <f>L155*'Расчет субсидий'!Q155</f>
        <v>-16.978715207550806</v>
      </c>
      <c r="N155" s="63">
        <f t="shared" si="55"/>
        <v>-40.320673054253895</v>
      </c>
      <c r="O155" s="62">
        <f>'Расчет субсидий'!R155-1</f>
        <v>0</v>
      </c>
      <c r="P155" s="62">
        <f>O155*'Расчет субсидий'!S155</f>
        <v>0</v>
      </c>
      <c r="Q155" s="63">
        <f t="shared" si="56"/>
        <v>0</v>
      </c>
      <c r="R155" s="62">
        <f>'Расчет субсидий'!V155-1</f>
        <v>0.25</v>
      </c>
      <c r="S155" s="62">
        <f>R155*'Расчет субсидий'!W155</f>
        <v>5</v>
      </c>
      <c r="T155" s="63">
        <f t="shared" si="57"/>
        <v>11.873888148003806</v>
      </c>
      <c r="U155" s="62">
        <f>'Расчет субсидий'!Z155-1</f>
        <v>0.25</v>
      </c>
      <c r="V155" s="62">
        <f>U155*'Расчет субсидий'!AA155</f>
        <v>7.5</v>
      </c>
      <c r="W155" s="63">
        <f t="shared" si="58"/>
        <v>17.810832222005708</v>
      </c>
      <c r="X155" s="62">
        <f t="shared" si="38"/>
        <v>-4.1802957058095771</v>
      </c>
    </row>
    <row r="156" spans="1:24" ht="15" customHeight="1">
      <c r="A156" s="36" t="s">
        <v>156</v>
      </c>
      <c r="B156" s="60">
        <f>'Расчет субсидий'!AG156</f>
        <v>-4.9909090909090992</v>
      </c>
      <c r="C156" s="62">
        <f>'Расчет субсидий'!D156-1</f>
        <v>5.555555555555558E-2</v>
      </c>
      <c r="D156" s="62">
        <f>C156*'Расчет субсидий'!E156</f>
        <v>0.5555555555555558</v>
      </c>
      <c r="E156" s="63">
        <f t="shared" si="54"/>
        <v>1.4423007020627816</v>
      </c>
      <c r="F156" s="30" t="s">
        <v>376</v>
      </c>
      <c r="G156" s="30" t="s">
        <v>376</v>
      </c>
      <c r="H156" s="30" t="s">
        <v>376</v>
      </c>
      <c r="I156" s="30" t="s">
        <v>376</v>
      </c>
      <c r="J156" s="30" t="s">
        <v>376</v>
      </c>
      <c r="K156" s="30" t="s">
        <v>376</v>
      </c>
      <c r="L156" s="62">
        <f>'Расчет субсидий'!P156-1</f>
        <v>-0.52954048140043763</v>
      </c>
      <c r="M156" s="62">
        <f>L156*'Расчет субсидий'!Q156</f>
        <v>-10.590809628008753</v>
      </c>
      <c r="N156" s="63">
        <f t="shared" si="55"/>
        <v>-27.495237891402507</v>
      </c>
      <c r="O156" s="62">
        <f>'Расчет субсидий'!R156-1</f>
        <v>0</v>
      </c>
      <c r="P156" s="62">
        <f>O156*'Расчет субсидий'!S156</f>
        <v>0</v>
      </c>
      <c r="Q156" s="63">
        <f t="shared" si="56"/>
        <v>0</v>
      </c>
      <c r="R156" s="62">
        <f>'Расчет субсидий'!V156-1</f>
        <v>0.18153846153846143</v>
      </c>
      <c r="S156" s="62">
        <f>R156*'Расчет субсидий'!W156</f>
        <v>5.4461538461538428</v>
      </c>
      <c r="T156" s="63">
        <f t="shared" si="57"/>
        <v>14.138984728529282</v>
      </c>
      <c r="U156" s="62">
        <f>'Расчет субсидий'!Z156-1</f>
        <v>0.1333333333333333</v>
      </c>
      <c r="V156" s="62">
        <f>U156*'Расчет субсидий'!AA156</f>
        <v>2.6666666666666661</v>
      </c>
      <c r="W156" s="63">
        <f t="shared" si="58"/>
        <v>6.9230433699013458</v>
      </c>
      <c r="X156" s="62">
        <f t="shared" si="38"/>
        <v>-1.9224335596326885</v>
      </c>
    </row>
    <row r="157" spans="1:24" ht="15" customHeight="1">
      <c r="A157" s="36" t="s">
        <v>157</v>
      </c>
      <c r="B157" s="60">
        <f>'Расчет субсидий'!AG157</f>
        <v>10.354545454545416</v>
      </c>
      <c r="C157" s="62">
        <f>'Расчет субсидий'!D157-1</f>
        <v>0.16015936254980079</v>
      </c>
      <c r="D157" s="62">
        <f>C157*'Расчет субсидий'!E157</f>
        <v>1.6015936254980079</v>
      </c>
      <c r="E157" s="63">
        <f t="shared" si="54"/>
        <v>4.8534997432612865</v>
      </c>
      <c r="F157" s="30" t="s">
        <v>376</v>
      </c>
      <c r="G157" s="30" t="s">
        <v>376</v>
      </c>
      <c r="H157" s="30" t="s">
        <v>376</v>
      </c>
      <c r="I157" s="30" t="s">
        <v>376</v>
      </c>
      <c r="J157" s="30" t="s">
        <v>376</v>
      </c>
      <c r="K157" s="30" t="s">
        <v>376</v>
      </c>
      <c r="L157" s="62">
        <f>'Расчет субсидий'!P157-1</f>
        <v>-0.65923621911180241</v>
      </c>
      <c r="M157" s="62">
        <f>L157*'Расчет субсидий'!Q157</f>
        <v>-13.184724382236048</v>
      </c>
      <c r="N157" s="63">
        <f t="shared" si="55"/>
        <v>-39.955239197618226</v>
      </c>
      <c r="O157" s="62">
        <f>'Расчет субсидий'!R157-1</f>
        <v>0</v>
      </c>
      <c r="P157" s="62">
        <f>O157*'Расчет субсидий'!S157</f>
        <v>0</v>
      </c>
      <c r="Q157" s="63">
        <f t="shared" si="56"/>
        <v>0</v>
      </c>
      <c r="R157" s="62">
        <f>'Расчет субсидий'!V157-1</f>
        <v>1</v>
      </c>
      <c r="S157" s="62">
        <f>R157*'Расчет субсидий'!W157</f>
        <v>15</v>
      </c>
      <c r="T157" s="63">
        <f t="shared" si="57"/>
        <v>45.456284908902354</v>
      </c>
      <c r="U157" s="62">
        <f>'Расчет субсидий'!Z157-1</f>
        <v>0</v>
      </c>
      <c r="V157" s="62">
        <f>U157*'Расчет субсидий'!AA157</f>
        <v>0</v>
      </c>
      <c r="W157" s="63">
        <f t="shared" si="58"/>
        <v>0</v>
      </c>
      <c r="X157" s="62">
        <f t="shared" si="38"/>
        <v>3.4168692432619601</v>
      </c>
    </row>
    <row r="158" spans="1:24" ht="15" customHeight="1">
      <c r="A158" s="36" t="s">
        <v>158</v>
      </c>
      <c r="B158" s="60">
        <f>'Расчет субсидий'!AG158</f>
        <v>-17.409090909090907</v>
      </c>
      <c r="C158" s="62">
        <f>'Расчет субсидий'!D158-1</f>
        <v>-0.62772432453838023</v>
      </c>
      <c r="D158" s="62">
        <f>C158*'Расчет субсидий'!E158</f>
        <v>-6.2772432453838025</v>
      </c>
      <c r="E158" s="63">
        <f t="shared" si="54"/>
        <v>-9.1309446292939924</v>
      </c>
      <c r="F158" s="30" t="s">
        <v>376</v>
      </c>
      <c r="G158" s="30" t="s">
        <v>376</v>
      </c>
      <c r="H158" s="30" t="s">
        <v>376</v>
      </c>
      <c r="I158" s="30" t="s">
        <v>376</v>
      </c>
      <c r="J158" s="30" t="s">
        <v>376</v>
      </c>
      <c r="K158" s="30" t="s">
        <v>376</v>
      </c>
      <c r="L158" s="62">
        <f>'Расчет субсидий'!P158-1</f>
        <v>-0.49238334491421243</v>
      </c>
      <c r="M158" s="62">
        <f>L158*'Расчет субсидий'!Q158</f>
        <v>-9.847666898284249</v>
      </c>
      <c r="N158" s="63">
        <f t="shared" si="55"/>
        <v>-14.324520758708786</v>
      </c>
      <c r="O158" s="62">
        <f>'Расчет субсидий'!R158-1</f>
        <v>0</v>
      </c>
      <c r="P158" s="62">
        <f>O158*'Расчет субсидий'!S158</f>
        <v>0</v>
      </c>
      <c r="Q158" s="63">
        <f t="shared" si="56"/>
        <v>0</v>
      </c>
      <c r="R158" s="62">
        <f>'Расчет субсидий'!V158-1</f>
        <v>0</v>
      </c>
      <c r="S158" s="62">
        <f>R158*'Расчет субсидий'!W158</f>
        <v>0</v>
      </c>
      <c r="T158" s="63">
        <f t="shared" si="57"/>
        <v>0</v>
      </c>
      <c r="U158" s="62">
        <f>'Расчет субсидий'!Z158-1</f>
        <v>0.13855654187572353</v>
      </c>
      <c r="V158" s="62">
        <f>U158*'Расчет субсидий'!AA158</f>
        <v>4.1566962562717062</v>
      </c>
      <c r="W158" s="63">
        <f t="shared" si="58"/>
        <v>6.0463744789118765</v>
      </c>
      <c r="X158" s="62">
        <f t="shared" si="38"/>
        <v>-11.968213887396347</v>
      </c>
    </row>
    <row r="159" spans="1:24" ht="15" customHeight="1">
      <c r="A159" s="35" t="s">
        <v>159</v>
      </c>
      <c r="B159" s="64"/>
      <c r="C159" s="65"/>
      <c r="D159" s="65"/>
      <c r="E159" s="66"/>
      <c r="F159" s="65"/>
      <c r="G159" s="65"/>
      <c r="H159" s="66"/>
      <c r="I159" s="66"/>
      <c r="J159" s="66"/>
      <c r="K159" s="66"/>
      <c r="L159" s="65"/>
      <c r="M159" s="65"/>
      <c r="N159" s="66"/>
      <c r="O159" s="65"/>
      <c r="P159" s="65"/>
      <c r="Q159" s="66"/>
      <c r="R159" s="65"/>
      <c r="S159" s="65"/>
      <c r="T159" s="66"/>
      <c r="U159" s="65"/>
      <c r="V159" s="65"/>
      <c r="W159" s="66"/>
      <c r="X159" s="66"/>
    </row>
    <row r="160" spans="1:24" ht="15" customHeight="1">
      <c r="A160" s="36" t="s">
        <v>73</v>
      </c>
      <c r="B160" s="60">
        <f>'Расчет субсидий'!AG160</f>
        <v>25.536363636363646</v>
      </c>
      <c r="C160" s="62">
        <f>'Расчет субсидий'!D160-1</f>
        <v>-1</v>
      </c>
      <c r="D160" s="62">
        <f>C160*'Расчет субсидий'!E160</f>
        <v>0</v>
      </c>
      <c r="E160" s="63">
        <f t="shared" ref="E160:E172" si="59">$B160*D160/$X160</f>
        <v>0</v>
      </c>
      <c r="F160" s="30" t="s">
        <v>376</v>
      </c>
      <c r="G160" s="30" t="s">
        <v>376</v>
      </c>
      <c r="H160" s="30" t="s">
        <v>376</v>
      </c>
      <c r="I160" s="30" t="s">
        <v>376</v>
      </c>
      <c r="J160" s="30" t="s">
        <v>376</v>
      </c>
      <c r="K160" s="30" t="s">
        <v>376</v>
      </c>
      <c r="L160" s="62">
        <f>'Расчет субсидий'!P160-1</f>
        <v>1.7439733998337492</v>
      </c>
      <c r="M160" s="62">
        <f>L160*'Расчет субсидий'!Q160</f>
        <v>34.879467996674983</v>
      </c>
      <c r="N160" s="63">
        <f t="shared" ref="N160:N172" si="60">$B160*M160/$X160</f>
        <v>22.334670519683556</v>
      </c>
      <c r="O160" s="62">
        <f>'Расчет субсидий'!R160-1</f>
        <v>0</v>
      </c>
      <c r="P160" s="62">
        <f>O160*'Расчет субсидий'!S160</f>
        <v>0</v>
      </c>
      <c r="Q160" s="63">
        <f t="shared" ref="Q160:Q172" si="61">$B160*P160/$X160</f>
        <v>0</v>
      </c>
      <c r="R160" s="62">
        <f>'Расчет субсидий'!V160-1</f>
        <v>0</v>
      </c>
      <c r="S160" s="62">
        <f>R160*'Расчет субсидий'!W160</f>
        <v>0</v>
      </c>
      <c r="T160" s="63">
        <f t="shared" ref="T160:T172" si="62">$B160*S160/$X160</f>
        <v>0</v>
      </c>
      <c r="U160" s="62">
        <f>'Расчет субсидий'!Z160-1</f>
        <v>0.19999999999999996</v>
      </c>
      <c r="V160" s="62">
        <f>U160*'Расчет субсидий'!AA160</f>
        <v>4.9999999999999991</v>
      </c>
      <c r="W160" s="63">
        <f t="shared" ref="W160:W172" si="63">$B160*V160/$X160</f>
        <v>3.2016931166800893</v>
      </c>
      <c r="X160" s="62">
        <f t="shared" si="38"/>
        <v>39.879467996674983</v>
      </c>
    </row>
    <row r="161" spans="1:24" ht="15" customHeight="1">
      <c r="A161" s="36" t="s">
        <v>160</v>
      </c>
      <c r="B161" s="60">
        <f>'Расчет субсидий'!AG161</f>
        <v>-14.145454545454548</v>
      </c>
      <c r="C161" s="62">
        <f>'Расчет субсидий'!D161-1</f>
        <v>-1</v>
      </c>
      <c r="D161" s="62">
        <f>C161*'Расчет субсидий'!E161</f>
        <v>0</v>
      </c>
      <c r="E161" s="63">
        <f t="shared" si="59"/>
        <v>0</v>
      </c>
      <c r="F161" s="30" t="s">
        <v>376</v>
      </c>
      <c r="G161" s="30" t="s">
        <v>376</v>
      </c>
      <c r="H161" s="30" t="s">
        <v>376</v>
      </c>
      <c r="I161" s="30" t="s">
        <v>376</v>
      </c>
      <c r="J161" s="30" t="s">
        <v>376</v>
      </c>
      <c r="K161" s="30" t="s">
        <v>376</v>
      </c>
      <c r="L161" s="62">
        <f>'Расчет субсидий'!P161-1</f>
        <v>-0.86330718165359088</v>
      </c>
      <c r="M161" s="62">
        <f>L161*'Расчет субсидий'!Q161</f>
        <v>-17.266143633071817</v>
      </c>
      <c r="N161" s="63">
        <f t="shared" si="60"/>
        <v>-14.145454545454548</v>
      </c>
      <c r="O161" s="62">
        <f>'Расчет субсидий'!R161-1</f>
        <v>0</v>
      </c>
      <c r="P161" s="62">
        <f>O161*'Расчет субсидий'!S161</f>
        <v>0</v>
      </c>
      <c r="Q161" s="63">
        <f t="shared" si="61"/>
        <v>0</v>
      </c>
      <c r="R161" s="62">
        <f>'Расчет субсидий'!V161-1</f>
        <v>0</v>
      </c>
      <c r="S161" s="62">
        <f>R161*'Расчет субсидий'!W161</f>
        <v>0</v>
      </c>
      <c r="T161" s="63">
        <f t="shared" si="62"/>
        <v>0</v>
      </c>
      <c r="U161" s="62">
        <f>'Расчет субсидий'!Z161-1</f>
        <v>0</v>
      </c>
      <c r="V161" s="62">
        <f>U161*'Расчет субсидий'!AA161</f>
        <v>0</v>
      </c>
      <c r="W161" s="63">
        <f t="shared" si="63"/>
        <v>0</v>
      </c>
      <c r="X161" s="62">
        <f t="shared" si="38"/>
        <v>-17.266143633071817</v>
      </c>
    </row>
    <row r="162" spans="1:24" ht="15" customHeight="1">
      <c r="A162" s="36" t="s">
        <v>161</v>
      </c>
      <c r="B162" s="60">
        <f>'Расчет субсидий'!AG162</f>
        <v>-4.2818181818182097</v>
      </c>
      <c r="C162" s="62">
        <f>'Расчет субсидий'!D162-1</f>
        <v>0</v>
      </c>
      <c r="D162" s="62">
        <f>C162*'Расчет субсидий'!E162</f>
        <v>0</v>
      </c>
      <c r="E162" s="63">
        <f t="shared" si="59"/>
        <v>0</v>
      </c>
      <c r="F162" s="30" t="s">
        <v>376</v>
      </c>
      <c r="G162" s="30" t="s">
        <v>376</v>
      </c>
      <c r="H162" s="30" t="s">
        <v>376</v>
      </c>
      <c r="I162" s="30" t="s">
        <v>376</v>
      </c>
      <c r="J162" s="30" t="s">
        <v>376</v>
      </c>
      <c r="K162" s="30" t="s">
        <v>376</v>
      </c>
      <c r="L162" s="62">
        <f>'Расчет субсидий'!P162-1</f>
        <v>-7.8125E-2</v>
      </c>
      <c r="M162" s="62">
        <f>L162*'Расчет субсидий'!Q162</f>
        <v>-1.5625</v>
      </c>
      <c r="N162" s="63">
        <f t="shared" si="60"/>
        <v>-4.2818181818182097</v>
      </c>
      <c r="O162" s="62">
        <f>'Расчет субсидий'!R162-1</f>
        <v>0</v>
      </c>
      <c r="P162" s="62">
        <f>O162*'Расчет субсидий'!S162</f>
        <v>0</v>
      </c>
      <c r="Q162" s="63">
        <f t="shared" si="61"/>
        <v>0</v>
      </c>
      <c r="R162" s="62">
        <f>'Расчет субсидий'!V162-1</f>
        <v>0</v>
      </c>
      <c r="S162" s="62">
        <f>R162*'Расчет субсидий'!W162</f>
        <v>0</v>
      </c>
      <c r="T162" s="63">
        <f t="shared" si="62"/>
        <v>0</v>
      </c>
      <c r="U162" s="62">
        <f>'Расчет субсидий'!Z162-1</f>
        <v>0</v>
      </c>
      <c r="V162" s="62">
        <f>U162*'Расчет субсидий'!AA162</f>
        <v>0</v>
      </c>
      <c r="W162" s="63">
        <f t="shared" si="63"/>
        <v>0</v>
      </c>
      <c r="X162" s="62">
        <f t="shared" si="38"/>
        <v>-1.5625</v>
      </c>
    </row>
    <row r="163" spans="1:24" ht="15" customHeight="1">
      <c r="A163" s="36" t="s">
        <v>162</v>
      </c>
      <c r="B163" s="60">
        <f>'Расчет субсидий'!AG163</f>
        <v>-24.563636363636363</v>
      </c>
      <c r="C163" s="62">
        <f>'Расчет субсидий'!D163-1</f>
        <v>0</v>
      </c>
      <c r="D163" s="62">
        <f>C163*'Расчет субсидий'!E163</f>
        <v>0</v>
      </c>
      <c r="E163" s="63">
        <f t="shared" si="59"/>
        <v>0</v>
      </c>
      <c r="F163" s="30" t="s">
        <v>376</v>
      </c>
      <c r="G163" s="30" t="s">
        <v>376</v>
      </c>
      <c r="H163" s="30" t="s">
        <v>376</v>
      </c>
      <c r="I163" s="30" t="s">
        <v>376</v>
      </c>
      <c r="J163" s="30" t="s">
        <v>376</v>
      </c>
      <c r="K163" s="30" t="s">
        <v>376</v>
      </c>
      <c r="L163" s="62">
        <f>'Расчет субсидий'!P163-1</f>
        <v>-0.71076288659793807</v>
      </c>
      <c r="M163" s="62">
        <f>L163*'Расчет субсидий'!Q163</f>
        <v>-14.215257731958761</v>
      </c>
      <c r="N163" s="63">
        <f t="shared" si="60"/>
        <v>-24.563636363636363</v>
      </c>
      <c r="O163" s="62">
        <f>'Расчет субсидий'!R163-1</f>
        <v>0</v>
      </c>
      <c r="P163" s="62">
        <f>O163*'Расчет субсидий'!S163</f>
        <v>0</v>
      </c>
      <c r="Q163" s="63">
        <f t="shared" si="61"/>
        <v>0</v>
      </c>
      <c r="R163" s="62">
        <f>'Расчет субсидий'!V163-1</f>
        <v>0</v>
      </c>
      <c r="S163" s="62">
        <f>R163*'Расчет субсидий'!W163</f>
        <v>0</v>
      </c>
      <c r="T163" s="63">
        <f t="shared" si="62"/>
        <v>0</v>
      </c>
      <c r="U163" s="62">
        <f>'Расчет субсидий'!Z163-1</f>
        <v>0</v>
      </c>
      <c r="V163" s="62">
        <f>U163*'Расчет субсидий'!AA163</f>
        <v>0</v>
      </c>
      <c r="W163" s="63">
        <f t="shared" si="63"/>
        <v>0</v>
      </c>
      <c r="X163" s="62">
        <f t="shared" si="38"/>
        <v>-14.215257731958761</v>
      </c>
    </row>
    <row r="164" spans="1:24" ht="15" customHeight="1">
      <c r="A164" s="36" t="s">
        <v>163</v>
      </c>
      <c r="B164" s="60">
        <f>'Расчет субсидий'!AG164</f>
        <v>114.94545454545454</v>
      </c>
      <c r="C164" s="62">
        <f>'Расчет субсидий'!D164-1</f>
        <v>-1.8487179487178818E-3</v>
      </c>
      <c r="D164" s="62">
        <f>C164*'Расчет субсидий'!E164</f>
        <v>-1.8487179487178818E-2</v>
      </c>
      <c r="E164" s="63">
        <f t="shared" si="59"/>
        <v>-2.5133743860945322E-2</v>
      </c>
      <c r="F164" s="30" t="s">
        <v>376</v>
      </c>
      <c r="G164" s="30" t="s">
        <v>376</v>
      </c>
      <c r="H164" s="30" t="s">
        <v>376</v>
      </c>
      <c r="I164" s="30" t="s">
        <v>376</v>
      </c>
      <c r="J164" s="30" t="s">
        <v>376</v>
      </c>
      <c r="K164" s="30" t="s">
        <v>376</v>
      </c>
      <c r="L164" s="62">
        <f>'Расчет субсидий'!P164-1</f>
        <v>0.28152643488994022</v>
      </c>
      <c r="M164" s="62">
        <f>L164*'Расчет субсидий'!Q164</f>
        <v>5.6305286977988045</v>
      </c>
      <c r="N164" s="63">
        <f t="shared" si="60"/>
        <v>7.6548327012414825</v>
      </c>
      <c r="O164" s="62">
        <f>'Расчет субсидий'!R164-1</f>
        <v>0</v>
      </c>
      <c r="P164" s="62">
        <f>O164*'Расчет субсидий'!S164</f>
        <v>0</v>
      </c>
      <c r="Q164" s="63">
        <f t="shared" si="61"/>
        <v>0</v>
      </c>
      <c r="R164" s="62">
        <f>'Расчет субсидий'!V164-1</f>
        <v>7.4534161490682482E-3</v>
      </c>
      <c r="S164" s="62">
        <f>R164*'Расчет субсидий'!W164</f>
        <v>0.18633540372670621</v>
      </c>
      <c r="T164" s="63">
        <f t="shared" si="62"/>
        <v>0.25332724836370119</v>
      </c>
      <c r="U164" s="62">
        <f>'Расчет субсидий'!Z164-1</f>
        <v>3.1500000000000004</v>
      </c>
      <c r="V164" s="62">
        <f>U164*'Расчет субсидий'!AA164</f>
        <v>78.750000000000014</v>
      </c>
      <c r="W164" s="63">
        <f t="shared" si="63"/>
        <v>107.06242833971029</v>
      </c>
      <c r="X164" s="62">
        <f t="shared" si="38"/>
        <v>84.548376922038344</v>
      </c>
    </row>
    <row r="165" spans="1:24" ht="15" customHeight="1">
      <c r="A165" s="36" t="s">
        <v>164</v>
      </c>
      <c r="B165" s="60">
        <f>'Расчет субсидий'!AG165</f>
        <v>48.818181818181813</v>
      </c>
      <c r="C165" s="62">
        <f>'Расчет субсидий'!D165-1</f>
        <v>-1</v>
      </c>
      <c r="D165" s="62">
        <f>C165*'Расчет субсидий'!E165</f>
        <v>0</v>
      </c>
      <c r="E165" s="63">
        <f t="shared" si="59"/>
        <v>0</v>
      </c>
      <c r="F165" s="30" t="s">
        <v>376</v>
      </c>
      <c r="G165" s="30" t="s">
        <v>376</v>
      </c>
      <c r="H165" s="30" t="s">
        <v>376</v>
      </c>
      <c r="I165" s="30" t="s">
        <v>376</v>
      </c>
      <c r="J165" s="30" t="s">
        <v>376</v>
      </c>
      <c r="K165" s="30" t="s">
        <v>376</v>
      </c>
      <c r="L165" s="62">
        <f>'Расчет субсидий'!P165-1</f>
        <v>-0.13801224682053703</v>
      </c>
      <c r="M165" s="62">
        <f>L165*'Расчет субсидий'!Q165</f>
        <v>-2.7602449364107406</v>
      </c>
      <c r="N165" s="63">
        <f t="shared" si="60"/>
        <v>-2.2556192107748365</v>
      </c>
      <c r="O165" s="62">
        <f>'Расчет субсидий'!R165-1</f>
        <v>0</v>
      </c>
      <c r="P165" s="62">
        <f>O165*'Расчет субсидий'!S165</f>
        <v>0</v>
      </c>
      <c r="Q165" s="63">
        <f t="shared" si="61"/>
        <v>0</v>
      </c>
      <c r="R165" s="62">
        <f>'Расчет субсидий'!V165-1</f>
        <v>0</v>
      </c>
      <c r="S165" s="62">
        <f>R165*'Расчет субсидий'!W165</f>
        <v>0</v>
      </c>
      <c r="T165" s="63">
        <f t="shared" si="62"/>
        <v>0</v>
      </c>
      <c r="U165" s="62">
        <f>'Расчет субсидий'!Z165-1</f>
        <v>2.5</v>
      </c>
      <c r="V165" s="62">
        <f>U165*'Расчет субсидий'!AA165</f>
        <v>62.5</v>
      </c>
      <c r="W165" s="63">
        <f t="shared" si="63"/>
        <v>51.073801028956652</v>
      </c>
      <c r="X165" s="62">
        <f t="shared" si="38"/>
        <v>59.739755063589257</v>
      </c>
    </row>
    <row r="166" spans="1:24" ht="15" customHeight="1">
      <c r="A166" s="36" t="s">
        <v>165</v>
      </c>
      <c r="B166" s="60">
        <f>'Расчет субсидий'!AG166</f>
        <v>-21.709090909090946</v>
      </c>
      <c r="C166" s="62">
        <f>'Расчет субсидий'!D166-1</f>
        <v>0.65438953488372098</v>
      </c>
      <c r="D166" s="62">
        <f>C166*'Расчет субсидий'!E166</f>
        <v>6.5438953488372098</v>
      </c>
      <c r="E166" s="63">
        <f t="shared" si="59"/>
        <v>26.803879979185059</v>
      </c>
      <c r="F166" s="30" t="s">
        <v>376</v>
      </c>
      <c r="G166" s="30" t="s">
        <v>376</v>
      </c>
      <c r="H166" s="30" t="s">
        <v>376</v>
      </c>
      <c r="I166" s="30" t="s">
        <v>376</v>
      </c>
      <c r="J166" s="30" t="s">
        <v>376</v>
      </c>
      <c r="K166" s="30" t="s">
        <v>376</v>
      </c>
      <c r="L166" s="62">
        <f>'Расчет субсидий'!P166-1</f>
        <v>-0.59219748185821497</v>
      </c>
      <c r="M166" s="62">
        <f>L166*'Расчет субсидий'!Q166</f>
        <v>-11.8439496371643</v>
      </c>
      <c r="N166" s="63">
        <f t="shared" si="60"/>
        <v>-48.512970888276001</v>
      </c>
      <c r="O166" s="62">
        <f>'Расчет субсидий'!R166-1</f>
        <v>0</v>
      </c>
      <c r="P166" s="62">
        <f>O166*'Расчет субсидий'!S166</f>
        <v>0</v>
      </c>
      <c r="Q166" s="63">
        <f t="shared" si="61"/>
        <v>0</v>
      </c>
      <c r="R166" s="62">
        <f>'Расчет субсидий'!V166-1</f>
        <v>0</v>
      </c>
      <c r="S166" s="62">
        <f>R166*'Расчет субсидий'!W166</f>
        <v>0</v>
      </c>
      <c r="T166" s="63">
        <f t="shared" si="62"/>
        <v>0</v>
      </c>
      <c r="U166" s="62">
        <f>'Расчет субсидий'!Z166-1</f>
        <v>0</v>
      </c>
      <c r="V166" s="62">
        <f>U166*'Расчет субсидий'!AA166</f>
        <v>0</v>
      </c>
      <c r="W166" s="63">
        <f t="shared" si="63"/>
        <v>0</v>
      </c>
      <c r="X166" s="62">
        <f t="shared" si="38"/>
        <v>-5.3000542883270905</v>
      </c>
    </row>
    <row r="167" spans="1:24" ht="15" customHeight="1">
      <c r="A167" s="36" t="s">
        <v>166</v>
      </c>
      <c r="B167" s="60">
        <f>'Расчет субсидий'!AG167</f>
        <v>28.918181818181807</v>
      </c>
      <c r="C167" s="62">
        <f>'Расчет субсидий'!D167-1</f>
        <v>-1</v>
      </c>
      <c r="D167" s="62">
        <f>C167*'Расчет субсидий'!E167</f>
        <v>0</v>
      </c>
      <c r="E167" s="63">
        <f t="shared" si="59"/>
        <v>0</v>
      </c>
      <c r="F167" s="30" t="s">
        <v>376</v>
      </c>
      <c r="G167" s="30" t="s">
        <v>376</v>
      </c>
      <c r="H167" s="30" t="s">
        <v>376</v>
      </c>
      <c r="I167" s="30" t="s">
        <v>376</v>
      </c>
      <c r="J167" s="30" t="s">
        <v>376</v>
      </c>
      <c r="K167" s="30" t="s">
        <v>376</v>
      </c>
      <c r="L167" s="62">
        <f>'Расчет субсидий'!P167-1</f>
        <v>0.98596294216732172</v>
      </c>
      <c r="M167" s="62">
        <f>L167*'Расчет субсидий'!Q167</f>
        <v>19.719258843346434</v>
      </c>
      <c r="N167" s="63">
        <f t="shared" si="60"/>
        <v>28.918181818181807</v>
      </c>
      <c r="O167" s="62">
        <f>'Расчет субсидий'!R167-1</f>
        <v>0</v>
      </c>
      <c r="P167" s="62">
        <f>O167*'Расчет субсидий'!S167</f>
        <v>0</v>
      </c>
      <c r="Q167" s="63">
        <f t="shared" si="61"/>
        <v>0</v>
      </c>
      <c r="R167" s="62">
        <f>'Расчет субсидий'!V167-1</f>
        <v>0</v>
      </c>
      <c r="S167" s="62">
        <f>R167*'Расчет субсидий'!W167</f>
        <v>0</v>
      </c>
      <c r="T167" s="63">
        <f t="shared" si="62"/>
        <v>0</v>
      </c>
      <c r="U167" s="62">
        <f>'Расчет субсидий'!Z167-1</f>
        <v>0</v>
      </c>
      <c r="V167" s="62">
        <f>U167*'Расчет субсидий'!AA167</f>
        <v>0</v>
      </c>
      <c r="W167" s="63">
        <f t="shared" si="63"/>
        <v>0</v>
      </c>
      <c r="X167" s="62">
        <f t="shared" si="38"/>
        <v>19.719258843346434</v>
      </c>
    </row>
    <row r="168" spans="1:24" ht="15" customHeight="1">
      <c r="A168" s="36" t="s">
        <v>167</v>
      </c>
      <c r="B168" s="60">
        <f>'Расчет субсидий'!AG168</f>
        <v>27.263636363636365</v>
      </c>
      <c r="C168" s="62">
        <f>'Расчет субсидий'!D168-1</f>
        <v>0</v>
      </c>
      <c r="D168" s="62">
        <f>C168*'Расчет субсидий'!E168</f>
        <v>0</v>
      </c>
      <c r="E168" s="63">
        <f t="shared" si="59"/>
        <v>0</v>
      </c>
      <c r="F168" s="30" t="s">
        <v>376</v>
      </c>
      <c r="G168" s="30" t="s">
        <v>376</v>
      </c>
      <c r="H168" s="30" t="s">
        <v>376</v>
      </c>
      <c r="I168" s="30" t="s">
        <v>376</v>
      </c>
      <c r="J168" s="30" t="s">
        <v>376</v>
      </c>
      <c r="K168" s="30" t="s">
        <v>376</v>
      </c>
      <c r="L168" s="62">
        <f>'Расчет субсидий'!P168-1</f>
        <v>3.5818619582664528</v>
      </c>
      <c r="M168" s="62">
        <f>L168*'Расчет субсидий'!Q168</f>
        <v>71.637239165329049</v>
      </c>
      <c r="N168" s="63">
        <f t="shared" si="60"/>
        <v>27.263636363636365</v>
      </c>
      <c r="O168" s="62">
        <f>'Расчет субсидий'!R168-1</f>
        <v>0</v>
      </c>
      <c r="P168" s="62">
        <f>O168*'Расчет субсидий'!S168</f>
        <v>0</v>
      </c>
      <c r="Q168" s="63">
        <f t="shared" si="61"/>
        <v>0</v>
      </c>
      <c r="R168" s="62">
        <f>'Расчет субсидий'!V168-1</f>
        <v>0</v>
      </c>
      <c r="S168" s="62">
        <f>R168*'Расчет субсидий'!W168</f>
        <v>0</v>
      </c>
      <c r="T168" s="63">
        <f t="shared" si="62"/>
        <v>0</v>
      </c>
      <c r="U168" s="62">
        <f>'Расчет субсидий'!Z168-1</f>
        <v>0</v>
      </c>
      <c r="V168" s="62">
        <f>U168*'Расчет субсидий'!AA168</f>
        <v>0</v>
      </c>
      <c r="W168" s="63">
        <f t="shared" si="63"/>
        <v>0</v>
      </c>
      <c r="X168" s="62">
        <f t="shared" si="38"/>
        <v>71.637239165329049</v>
      </c>
    </row>
    <row r="169" spans="1:24" ht="15" customHeight="1">
      <c r="A169" s="36" t="s">
        <v>101</v>
      </c>
      <c r="B169" s="60">
        <f>'Расчет субсидий'!AG169</f>
        <v>-8.3999999999999773</v>
      </c>
      <c r="C169" s="62">
        <f>'Расчет субсидий'!D169-1</f>
        <v>7.7540983606557479E-2</v>
      </c>
      <c r="D169" s="62">
        <f>C169*'Расчет субсидий'!E169</f>
        <v>0.77540983606557479</v>
      </c>
      <c r="E169" s="63">
        <f t="shared" si="59"/>
        <v>2.6045437604573864</v>
      </c>
      <c r="F169" s="30" t="s">
        <v>376</v>
      </c>
      <c r="G169" s="30" t="s">
        <v>376</v>
      </c>
      <c r="H169" s="30" t="s">
        <v>376</v>
      </c>
      <c r="I169" s="30" t="s">
        <v>376</v>
      </c>
      <c r="J169" s="30" t="s">
        <v>376</v>
      </c>
      <c r="K169" s="30" t="s">
        <v>376</v>
      </c>
      <c r="L169" s="62">
        <f>'Расчет субсидий'!P169-1</f>
        <v>-0.16381048387096775</v>
      </c>
      <c r="M169" s="62">
        <f>L169*'Расчет субсидий'!Q169</f>
        <v>-3.276209677419355</v>
      </c>
      <c r="N169" s="63">
        <f t="shared" si="60"/>
        <v>-11.004543760457365</v>
      </c>
      <c r="O169" s="62">
        <f>'Расчет субсидий'!R169-1</f>
        <v>0</v>
      </c>
      <c r="P169" s="62">
        <f>O169*'Расчет субсидий'!S169</f>
        <v>0</v>
      </c>
      <c r="Q169" s="63">
        <f t="shared" si="61"/>
        <v>0</v>
      </c>
      <c r="R169" s="62">
        <f>'Расчет субсидий'!V169-1</f>
        <v>0</v>
      </c>
      <c r="S169" s="62">
        <f>R169*'Расчет субсидий'!W169</f>
        <v>0</v>
      </c>
      <c r="T169" s="63">
        <f t="shared" si="62"/>
        <v>0</v>
      </c>
      <c r="U169" s="62">
        <f>'Расчет субсидий'!Z169-1</f>
        <v>0</v>
      </c>
      <c r="V169" s="62">
        <f>U169*'Расчет субсидий'!AA169</f>
        <v>0</v>
      </c>
      <c r="W169" s="63">
        <f t="shared" si="63"/>
        <v>0</v>
      </c>
      <c r="X169" s="62">
        <f t="shared" si="38"/>
        <v>-2.5007998413537802</v>
      </c>
    </row>
    <row r="170" spans="1:24" ht="15" customHeight="1">
      <c r="A170" s="36" t="s">
        <v>168</v>
      </c>
      <c r="B170" s="60">
        <f>'Расчет субсидий'!AG170</f>
        <v>-54.345454545454572</v>
      </c>
      <c r="C170" s="62">
        <f>'Расчет субсидий'!D170-1</f>
        <v>-0.19492417121452321</v>
      </c>
      <c r="D170" s="62">
        <f>C170*'Расчет субсидий'!E170</f>
        <v>-1.9492417121452321</v>
      </c>
      <c r="E170" s="63">
        <f t="shared" si="59"/>
        <v>-6.9215506457363798</v>
      </c>
      <c r="F170" s="30" t="s">
        <v>376</v>
      </c>
      <c r="G170" s="30" t="s">
        <v>376</v>
      </c>
      <c r="H170" s="30" t="s">
        <v>376</v>
      </c>
      <c r="I170" s="30" t="s">
        <v>376</v>
      </c>
      <c r="J170" s="30" t="s">
        <v>376</v>
      </c>
      <c r="K170" s="30" t="s">
        <v>376</v>
      </c>
      <c r="L170" s="62">
        <f>'Расчет субсидий'!P170-1</f>
        <v>-0.16332982086406744</v>
      </c>
      <c r="M170" s="62">
        <f>L170*'Расчет субсидий'!Q170</f>
        <v>-3.2665964172813489</v>
      </c>
      <c r="N170" s="63">
        <f t="shared" si="60"/>
        <v>-11.599337527263661</v>
      </c>
      <c r="O170" s="62">
        <f>'Расчет субсидий'!R170-1</f>
        <v>0</v>
      </c>
      <c r="P170" s="62">
        <f>O170*'Расчет субсидий'!S170</f>
        <v>0</v>
      </c>
      <c r="Q170" s="63">
        <f t="shared" si="61"/>
        <v>0</v>
      </c>
      <c r="R170" s="62">
        <f>'Расчет субсидий'!V170-1</f>
        <v>2.1739130434783593E-3</v>
      </c>
      <c r="S170" s="62">
        <f>R170*'Расчет субсидий'!W170</f>
        <v>1.0869565217391797E-2</v>
      </c>
      <c r="T170" s="63">
        <f t="shared" si="62"/>
        <v>3.8596673609304744E-2</v>
      </c>
      <c r="U170" s="62">
        <f>'Расчет субсидий'!Z170-1</f>
        <v>-0.22443902439024388</v>
      </c>
      <c r="V170" s="62">
        <f>U170*'Расчет субсидий'!AA170</f>
        <v>-10.099756097560974</v>
      </c>
      <c r="W170" s="63">
        <f t="shared" si="63"/>
        <v>-35.863163046063839</v>
      </c>
      <c r="X170" s="62">
        <f t="shared" si="38"/>
        <v>-15.304724661770162</v>
      </c>
    </row>
    <row r="171" spans="1:24" ht="15" customHeight="1">
      <c r="A171" s="36" t="s">
        <v>169</v>
      </c>
      <c r="B171" s="60">
        <f>'Расчет субсидий'!AG171</f>
        <v>29.981818181818085</v>
      </c>
      <c r="C171" s="62">
        <f>'Расчет субсидий'!D171-1</f>
        <v>0.18108620689655175</v>
      </c>
      <c r="D171" s="62">
        <f>C171*'Расчет субсидий'!E171</f>
        <v>1.8108620689655175</v>
      </c>
      <c r="E171" s="63">
        <f t="shared" si="59"/>
        <v>11.465424733758098</v>
      </c>
      <c r="F171" s="30" t="s">
        <v>376</v>
      </c>
      <c r="G171" s="30" t="s">
        <v>376</v>
      </c>
      <c r="H171" s="30" t="s">
        <v>376</v>
      </c>
      <c r="I171" s="30" t="s">
        <v>376</v>
      </c>
      <c r="J171" s="30" t="s">
        <v>376</v>
      </c>
      <c r="K171" s="30" t="s">
        <v>376</v>
      </c>
      <c r="L171" s="62">
        <f>'Расчет субсидий'!P171-1</f>
        <v>-5.5004508566275923E-2</v>
      </c>
      <c r="M171" s="62">
        <f>L171*'Расчет субсидий'!Q171</f>
        <v>-1.1000901713255185</v>
      </c>
      <c r="N171" s="63">
        <f t="shared" si="60"/>
        <v>-6.9651914830184456</v>
      </c>
      <c r="O171" s="62">
        <f>'Расчет субсидий'!R171-1</f>
        <v>0</v>
      </c>
      <c r="P171" s="62">
        <f>O171*'Расчет субсидий'!S171</f>
        <v>0</v>
      </c>
      <c r="Q171" s="63">
        <f t="shared" si="61"/>
        <v>0</v>
      </c>
      <c r="R171" s="62">
        <f>'Расчет субсидий'!V171-1</f>
        <v>6.7213114754098191E-2</v>
      </c>
      <c r="S171" s="62">
        <f>R171*'Расчет субсидий'!W171</f>
        <v>3.0245901639344188</v>
      </c>
      <c r="T171" s="63">
        <f t="shared" si="62"/>
        <v>19.150111689547732</v>
      </c>
      <c r="U171" s="62">
        <f>'Расчет субсидий'!Z171-1</f>
        <v>0.19999999999999996</v>
      </c>
      <c r="V171" s="62">
        <f>U171*'Расчет субсидий'!AA171</f>
        <v>0.99999999999999978</v>
      </c>
      <c r="W171" s="63">
        <f t="shared" si="63"/>
        <v>6.3314732415307002</v>
      </c>
      <c r="X171" s="62">
        <f t="shared" si="38"/>
        <v>4.7353620615744179</v>
      </c>
    </row>
    <row r="172" spans="1:24" ht="15" customHeight="1">
      <c r="A172" s="36" t="s">
        <v>170</v>
      </c>
      <c r="B172" s="60">
        <f>'Расчет субсидий'!AG172</f>
        <v>-7.6272727272727252</v>
      </c>
      <c r="C172" s="62">
        <f>'Расчет субсидий'!D172-1</f>
        <v>-0.54672727272727273</v>
      </c>
      <c r="D172" s="62">
        <f>C172*'Расчет субсидий'!E172</f>
        <v>-5.4672727272727268</v>
      </c>
      <c r="E172" s="63">
        <f t="shared" si="59"/>
        <v>-12.48406504805793</v>
      </c>
      <c r="F172" s="30" t="s">
        <v>376</v>
      </c>
      <c r="G172" s="30" t="s">
        <v>376</v>
      </c>
      <c r="H172" s="30" t="s">
        <v>376</v>
      </c>
      <c r="I172" s="30" t="s">
        <v>376</v>
      </c>
      <c r="J172" s="30" t="s">
        <v>376</v>
      </c>
      <c r="K172" s="30" t="s">
        <v>376</v>
      </c>
      <c r="L172" s="62">
        <f>'Расчет субсидий'!P172-1</f>
        <v>0.10634920634920642</v>
      </c>
      <c r="M172" s="62">
        <f>L172*'Расчет субсидий'!Q172</f>
        <v>2.1269841269841283</v>
      </c>
      <c r="N172" s="63">
        <f t="shared" si="60"/>
        <v>4.8567923207852051</v>
      </c>
      <c r="O172" s="62">
        <f>'Расчет субсидий'!R172-1</f>
        <v>0</v>
      </c>
      <c r="P172" s="62">
        <f>O172*'Расчет субсидий'!S172</f>
        <v>0</v>
      </c>
      <c r="Q172" s="63">
        <f t="shared" si="61"/>
        <v>0</v>
      </c>
      <c r="R172" s="62">
        <f>'Расчет субсидий'!V172-1</f>
        <v>0</v>
      </c>
      <c r="S172" s="62">
        <f>R172*'Расчет субсидий'!W172</f>
        <v>0</v>
      </c>
      <c r="T172" s="63">
        <f t="shared" si="62"/>
        <v>0</v>
      </c>
      <c r="U172" s="62">
        <f>'Расчет субсидий'!Z172-1</f>
        <v>0</v>
      </c>
      <c r="V172" s="62">
        <f>U172*'Расчет субсидий'!AA172</f>
        <v>0</v>
      </c>
      <c r="W172" s="63">
        <f t="shared" si="63"/>
        <v>0</v>
      </c>
      <c r="X172" s="62">
        <f t="shared" si="38"/>
        <v>-3.3402886002885985</v>
      </c>
    </row>
    <row r="173" spans="1:24" ht="15" customHeight="1">
      <c r="A173" s="35" t="s">
        <v>171</v>
      </c>
      <c r="B173" s="64"/>
      <c r="C173" s="65"/>
      <c r="D173" s="65"/>
      <c r="E173" s="66"/>
      <c r="F173" s="65"/>
      <c r="G173" s="65"/>
      <c r="H173" s="66"/>
      <c r="I173" s="66"/>
      <c r="J173" s="66"/>
      <c r="K173" s="66"/>
      <c r="L173" s="65"/>
      <c r="M173" s="65"/>
      <c r="N173" s="66"/>
      <c r="O173" s="65"/>
      <c r="P173" s="65"/>
      <c r="Q173" s="66"/>
      <c r="R173" s="65"/>
      <c r="S173" s="65"/>
      <c r="T173" s="66"/>
      <c r="U173" s="65"/>
      <c r="V173" s="65"/>
      <c r="W173" s="66"/>
      <c r="X173" s="66"/>
    </row>
    <row r="174" spans="1:24" ht="15" customHeight="1">
      <c r="A174" s="36" t="s">
        <v>172</v>
      </c>
      <c r="B174" s="60">
        <f>'Расчет субсидий'!AG174</f>
        <v>-61.536363636363632</v>
      </c>
      <c r="C174" s="62">
        <f>'Расчет субсидий'!D174-1</f>
        <v>-1</v>
      </c>
      <c r="D174" s="62">
        <f>C174*'Расчет субсидий'!E174</f>
        <v>0</v>
      </c>
      <c r="E174" s="63">
        <f t="shared" ref="E174:E184" si="64">$B174*D174/$X174</f>
        <v>0</v>
      </c>
      <c r="F174" s="30" t="s">
        <v>376</v>
      </c>
      <c r="G174" s="30" t="s">
        <v>376</v>
      </c>
      <c r="H174" s="30" t="s">
        <v>376</v>
      </c>
      <c r="I174" s="30" t="s">
        <v>376</v>
      </c>
      <c r="J174" s="30" t="s">
        <v>376</v>
      </c>
      <c r="K174" s="30" t="s">
        <v>376</v>
      </c>
      <c r="L174" s="62">
        <f>'Расчет субсидий'!P174-1</f>
        <v>-0.59801136363636365</v>
      </c>
      <c r="M174" s="62">
        <f>L174*'Расчет субсидий'!Q174</f>
        <v>-11.960227272727273</v>
      </c>
      <c r="N174" s="63">
        <f t="shared" ref="N174:N184" si="65">$B174*M174/$X174</f>
        <v>-22.174785850919296</v>
      </c>
      <c r="O174" s="62">
        <f>'Расчет субсидий'!R174-1</f>
        <v>0</v>
      </c>
      <c r="P174" s="62">
        <f>O174*'Расчет субсидий'!S174</f>
        <v>0</v>
      </c>
      <c r="Q174" s="63">
        <f t="shared" ref="Q174:Q184" si="66">$B174*P174/$X174</f>
        <v>0</v>
      </c>
      <c r="R174" s="62">
        <f>'Расчет субсидий'!V174-1</f>
        <v>-0.30657492354740068</v>
      </c>
      <c r="S174" s="62">
        <f>R174*'Расчет субсидий'!W174</f>
        <v>-10.730122324159023</v>
      </c>
      <c r="T174" s="63">
        <f t="shared" ref="T174:T184" si="67">$B174*S174/$X174</f>
        <v>-19.89411733295082</v>
      </c>
      <c r="U174" s="62">
        <f>'Расчет субсидий'!Z174-1</f>
        <v>-0.7</v>
      </c>
      <c r="V174" s="62">
        <f>U174*'Расчет субсидий'!AA174</f>
        <v>-10.5</v>
      </c>
      <c r="W174" s="63">
        <f t="shared" ref="W174:W184" si="68">$B174*V174/$X174</f>
        <v>-19.467460452493519</v>
      </c>
      <c r="X174" s="62">
        <f t="shared" si="38"/>
        <v>-33.190349596886293</v>
      </c>
    </row>
    <row r="175" spans="1:24" ht="15" customHeight="1">
      <c r="A175" s="36" t="s">
        <v>173</v>
      </c>
      <c r="B175" s="60">
        <f>'Расчет субсидий'!AG175</f>
        <v>46.354545454545445</v>
      </c>
      <c r="C175" s="62">
        <f>'Расчет субсидий'!D175-1</f>
        <v>4.4225120939875628E-2</v>
      </c>
      <c r="D175" s="62">
        <f>C175*'Расчет субсидий'!E175</f>
        <v>0.44225120939875628</v>
      </c>
      <c r="E175" s="63">
        <f t="shared" si="64"/>
        <v>0.74018551648498132</v>
      </c>
      <c r="F175" s="30" t="s">
        <v>376</v>
      </c>
      <c r="G175" s="30" t="s">
        <v>376</v>
      </c>
      <c r="H175" s="30" t="s">
        <v>376</v>
      </c>
      <c r="I175" s="30" t="s">
        <v>376</v>
      </c>
      <c r="J175" s="30" t="s">
        <v>376</v>
      </c>
      <c r="K175" s="30" t="s">
        <v>376</v>
      </c>
      <c r="L175" s="62">
        <f>'Расчет субсидий'!P175-1</f>
        <v>0.90217299399678685</v>
      </c>
      <c r="M175" s="62">
        <f>L175*'Расчет субсидий'!Q175</f>
        <v>18.043459879935739</v>
      </c>
      <c r="N175" s="63">
        <f t="shared" si="65"/>
        <v>30.198917236570551</v>
      </c>
      <c r="O175" s="62">
        <f>'Расчет субсидий'!R175-1</f>
        <v>0</v>
      </c>
      <c r="P175" s="62">
        <f>O175*'Расчет субсидий'!S175</f>
        <v>0</v>
      </c>
      <c r="Q175" s="63">
        <f t="shared" si="66"/>
        <v>0</v>
      </c>
      <c r="R175" s="62">
        <f>'Расчет субсидий'!V175-1</f>
        <v>0.30175438596491233</v>
      </c>
      <c r="S175" s="62">
        <f>R175*'Расчет субсидий'!W175</f>
        <v>7.5438596491228083</v>
      </c>
      <c r="T175" s="63">
        <f t="shared" si="67"/>
        <v>12.625981641220308</v>
      </c>
      <c r="U175" s="62">
        <f>'Расчет субсидий'!Z175-1</f>
        <v>6.6666666666666652E-2</v>
      </c>
      <c r="V175" s="62">
        <f>U175*'Расчет субсидий'!AA175</f>
        <v>1.6666666666666663</v>
      </c>
      <c r="W175" s="63">
        <f t="shared" si="68"/>
        <v>2.7894610602696019</v>
      </c>
      <c r="X175" s="62">
        <f t="shared" si="38"/>
        <v>27.69623740512397</v>
      </c>
    </row>
    <row r="176" spans="1:24" ht="15" customHeight="1">
      <c r="A176" s="36" t="s">
        <v>174</v>
      </c>
      <c r="B176" s="60">
        <f>'Расчет субсидий'!AG176</f>
        <v>13.190909090909088</v>
      </c>
      <c r="C176" s="62">
        <f>'Расчет субсидий'!D176-1</f>
        <v>-1</v>
      </c>
      <c r="D176" s="62">
        <f>C176*'Расчет субсидий'!E176</f>
        <v>0</v>
      </c>
      <c r="E176" s="63">
        <f t="shared" si="64"/>
        <v>0</v>
      </c>
      <c r="F176" s="30" t="s">
        <v>376</v>
      </c>
      <c r="G176" s="30" t="s">
        <v>376</v>
      </c>
      <c r="H176" s="30" t="s">
        <v>376</v>
      </c>
      <c r="I176" s="30" t="s">
        <v>376</v>
      </c>
      <c r="J176" s="30" t="s">
        <v>376</v>
      </c>
      <c r="K176" s="30" t="s">
        <v>376</v>
      </c>
      <c r="L176" s="62">
        <f>'Расчет субсидий'!P176-1</f>
        <v>2.219512195121951</v>
      </c>
      <c r="M176" s="62">
        <f>L176*'Расчет субсидий'!Q176</f>
        <v>44.390243902439018</v>
      </c>
      <c r="N176" s="63">
        <f t="shared" si="65"/>
        <v>13.190909090909086</v>
      </c>
      <c r="O176" s="62">
        <f>'Расчет субсидий'!R176-1</f>
        <v>0</v>
      </c>
      <c r="P176" s="62">
        <f>O176*'Расчет субсидий'!S176</f>
        <v>0</v>
      </c>
      <c r="Q176" s="63">
        <f t="shared" si="66"/>
        <v>0</v>
      </c>
      <c r="R176" s="62">
        <f>'Расчет субсидий'!V176-1</f>
        <v>0</v>
      </c>
      <c r="S176" s="62">
        <f>R176*'Расчет субсидий'!W176</f>
        <v>0</v>
      </c>
      <c r="T176" s="63">
        <f t="shared" si="67"/>
        <v>0</v>
      </c>
      <c r="U176" s="62">
        <f>'Расчет субсидий'!Z176-1</f>
        <v>0</v>
      </c>
      <c r="V176" s="62">
        <f>U176*'Расчет субсидий'!AA176</f>
        <v>0</v>
      </c>
      <c r="W176" s="63">
        <f t="shared" si="68"/>
        <v>0</v>
      </c>
      <c r="X176" s="62">
        <f t="shared" ref="X176:X239" si="69">D176+M176+P176+S176+V176</f>
        <v>44.390243902439018</v>
      </c>
    </row>
    <row r="177" spans="1:24" ht="15" customHeight="1">
      <c r="A177" s="36" t="s">
        <v>175</v>
      </c>
      <c r="B177" s="60">
        <f>'Расчет субсидий'!AG177</f>
        <v>21.145454545454541</v>
      </c>
      <c r="C177" s="62">
        <f>'Расчет субсидий'!D177-1</f>
        <v>-1</v>
      </c>
      <c r="D177" s="62">
        <f>C177*'Расчет субсидий'!E177</f>
        <v>0</v>
      </c>
      <c r="E177" s="63">
        <f t="shared" si="64"/>
        <v>0</v>
      </c>
      <c r="F177" s="30" t="s">
        <v>376</v>
      </c>
      <c r="G177" s="30" t="s">
        <v>376</v>
      </c>
      <c r="H177" s="30" t="s">
        <v>376</v>
      </c>
      <c r="I177" s="30" t="s">
        <v>376</v>
      </c>
      <c r="J177" s="30" t="s">
        <v>376</v>
      </c>
      <c r="K177" s="30" t="s">
        <v>376</v>
      </c>
      <c r="L177" s="62">
        <f>'Расчет субсидий'!P177-1</f>
        <v>0.19384057971014501</v>
      </c>
      <c r="M177" s="62">
        <f>L177*'Расчет субсидий'!Q177</f>
        <v>3.8768115942029002</v>
      </c>
      <c r="N177" s="63">
        <f t="shared" si="65"/>
        <v>0.53274396900485921</v>
      </c>
      <c r="O177" s="62">
        <f>'Расчет субсидий'!R177-1</f>
        <v>0</v>
      </c>
      <c r="P177" s="62">
        <f>O177*'Расчет субсидий'!S177</f>
        <v>0</v>
      </c>
      <c r="Q177" s="63">
        <f t="shared" si="66"/>
        <v>0</v>
      </c>
      <c r="R177" s="62">
        <f>'Расчет субсидий'!V177-1</f>
        <v>0</v>
      </c>
      <c r="S177" s="62">
        <f>R177*'Расчет субсидий'!W177</f>
        <v>0</v>
      </c>
      <c r="T177" s="63">
        <f t="shared" si="67"/>
        <v>0</v>
      </c>
      <c r="U177" s="62">
        <f>'Расчет субсидий'!Z177-1</f>
        <v>5.9999999999999991</v>
      </c>
      <c r="V177" s="62">
        <f>U177*'Расчет субсидий'!AA177</f>
        <v>149.99999999999997</v>
      </c>
      <c r="W177" s="63">
        <f t="shared" si="68"/>
        <v>20.612710576449683</v>
      </c>
      <c r="X177" s="62">
        <f t="shared" si="69"/>
        <v>153.87681159420288</v>
      </c>
    </row>
    <row r="178" spans="1:24" ht="15" customHeight="1">
      <c r="A178" s="36" t="s">
        <v>176</v>
      </c>
      <c r="B178" s="60">
        <f>'Расчет субсидий'!AG178</f>
        <v>0.7181818181818187</v>
      </c>
      <c r="C178" s="62">
        <f>'Расчет субсидий'!D178-1</f>
        <v>-1</v>
      </c>
      <c r="D178" s="62">
        <f>C178*'Расчет субсидий'!E178</f>
        <v>0</v>
      </c>
      <c r="E178" s="63">
        <f t="shared" si="64"/>
        <v>0</v>
      </c>
      <c r="F178" s="30" t="s">
        <v>376</v>
      </c>
      <c r="G178" s="30" t="s">
        <v>376</v>
      </c>
      <c r="H178" s="30" t="s">
        <v>376</v>
      </c>
      <c r="I178" s="30" t="s">
        <v>376</v>
      </c>
      <c r="J178" s="30" t="s">
        <v>376</v>
      </c>
      <c r="K178" s="30" t="s">
        <v>376</v>
      </c>
      <c r="L178" s="62">
        <f>'Расчет субсидий'!P178-1</f>
        <v>4.0572792362768562E-2</v>
      </c>
      <c r="M178" s="62">
        <f>L178*'Расчет субсидий'!Q178</f>
        <v>0.81145584725537123</v>
      </c>
      <c r="N178" s="63">
        <f t="shared" si="65"/>
        <v>0.7181818181818187</v>
      </c>
      <c r="O178" s="62">
        <f>'Расчет субсидий'!R178-1</f>
        <v>0</v>
      </c>
      <c r="P178" s="62">
        <f>O178*'Расчет субсидий'!S178</f>
        <v>0</v>
      </c>
      <c r="Q178" s="63">
        <f t="shared" si="66"/>
        <v>0</v>
      </c>
      <c r="R178" s="62">
        <f>'Расчет субсидий'!V178-1</f>
        <v>0</v>
      </c>
      <c r="S178" s="62">
        <f>R178*'Расчет субсидий'!W178</f>
        <v>0</v>
      </c>
      <c r="T178" s="63">
        <f t="shared" si="67"/>
        <v>0</v>
      </c>
      <c r="U178" s="62">
        <f>'Расчет субсидий'!Z178-1</f>
        <v>0</v>
      </c>
      <c r="V178" s="62">
        <f>U178*'Расчет субсидий'!AA178</f>
        <v>0</v>
      </c>
      <c r="W178" s="63">
        <f t="shared" si="68"/>
        <v>0</v>
      </c>
      <c r="X178" s="62">
        <f t="shared" si="69"/>
        <v>0.81145584725537123</v>
      </c>
    </row>
    <row r="179" spans="1:24" ht="15" customHeight="1">
      <c r="A179" s="36" t="s">
        <v>177</v>
      </c>
      <c r="B179" s="60">
        <f>'Расчет субсидий'!AG179</f>
        <v>-28.681818181818187</v>
      </c>
      <c r="C179" s="62">
        <f>'Расчет субсидий'!D179-1</f>
        <v>-1</v>
      </c>
      <c r="D179" s="62">
        <f>C179*'Расчет субсидий'!E179</f>
        <v>0</v>
      </c>
      <c r="E179" s="63">
        <f t="shared" si="64"/>
        <v>0</v>
      </c>
      <c r="F179" s="30" t="s">
        <v>376</v>
      </c>
      <c r="G179" s="30" t="s">
        <v>376</v>
      </c>
      <c r="H179" s="30" t="s">
        <v>376</v>
      </c>
      <c r="I179" s="30" t="s">
        <v>376</v>
      </c>
      <c r="J179" s="30" t="s">
        <v>376</v>
      </c>
      <c r="K179" s="30" t="s">
        <v>376</v>
      </c>
      <c r="L179" s="62">
        <f>'Расчет субсидий'!P179-1</f>
        <v>-0.37655086848635233</v>
      </c>
      <c r="M179" s="62">
        <f>L179*'Расчет субсидий'!Q179</f>
        <v>-7.5310173697270466</v>
      </c>
      <c r="N179" s="63">
        <f t="shared" si="65"/>
        <v>-8.7958765523241382</v>
      </c>
      <c r="O179" s="62">
        <f>'Расчет субсидий'!R179-1</f>
        <v>0</v>
      </c>
      <c r="P179" s="62">
        <f>O179*'Расчет субсидий'!S179</f>
        <v>0</v>
      </c>
      <c r="Q179" s="63">
        <f t="shared" si="66"/>
        <v>0</v>
      </c>
      <c r="R179" s="62">
        <f>'Расчет субсидий'!V179-1</f>
        <v>-5.7894736842105221E-2</v>
      </c>
      <c r="S179" s="62">
        <f>R179*'Расчет субсидий'!W179</f>
        <v>-2.0263157894736827</v>
      </c>
      <c r="T179" s="63">
        <f t="shared" si="67"/>
        <v>-2.3666422032009899</v>
      </c>
      <c r="U179" s="62">
        <f>'Расчет субсидий'!Z179-1</f>
        <v>-1</v>
      </c>
      <c r="V179" s="62">
        <f>U179*'Расчет субсидий'!AA179</f>
        <v>-15</v>
      </c>
      <c r="W179" s="63">
        <f t="shared" si="68"/>
        <v>-17.519299426293056</v>
      </c>
      <c r="X179" s="62">
        <f t="shared" si="69"/>
        <v>-24.557333159200731</v>
      </c>
    </row>
    <row r="180" spans="1:24" ht="15" customHeight="1">
      <c r="A180" s="36" t="s">
        <v>178</v>
      </c>
      <c r="B180" s="60">
        <f>'Расчет субсидий'!AG180</f>
        <v>10.18181818181818</v>
      </c>
      <c r="C180" s="62">
        <f>'Расчет субсидий'!D180-1</f>
        <v>-1</v>
      </c>
      <c r="D180" s="62">
        <f>C180*'Расчет субсидий'!E180</f>
        <v>0</v>
      </c>
      <c r="E180" s="63">
        <f t="shared" si="64"/>
        <v>0</v>
      </c>
      <c r="F180" s="30" t="s">
        <v>376</v>
      </c>
      <c r="G180" s="30" t="s">
        <v>376</v>
      </c>
      <c r="H180" s="30" t="s">
        <v>376</v>
      </c>
      <c r="I180" s="30" t="s">
        <v>376</v>
      </c>
      <c r="J180" s="30" t="s">
        <v>376</v>
      </c>
      <c r="K180" s="30" t="s">
        <v>376</v>
      </c>
      <c r="L180" s="62">
        <f>'Расчет субсидий'!P180-1</f>
        <v>2.7049180327868858</v>
      </c>
      <c r="M180" s="62">
        <f>L180*'Расчет субсидий'!Q180</f>
        <v>54.098360655737714</v>
      </c>
      <c r="N180" s="63">
        <f t="shared" si="65"/>
        <v>10.18181818181818</v>
      </c>
      <c r="O180" s="62">
        <f>'Расчет субсидий'!R180-1</f>
        <v>0</v>
      </c>
      <c r="P180" s="62">
        <f>O180*'Расчет субсидий'!S180</f>
        <v>0</v>
      </c>
      <c r="Q180" s="63">
        <f t="shared" si="66"/>
        <v>0</v>
      </c>
      <c r="R180" s="62">
        <f>'Расчет субсидий'!V180-1</f>
        <v>0</v>
      </c>
      <c r="S180" s="62">
        <f>R180*'Расчет субсидий'!W180</f>
        <v>0</v>
      </c>
      <c r="T180" s="63">
        <f t="shared" si="67"/>
        <v>0</v>
      </c>
      <c r="U180" s="62">
        <f>'Расчет субсидий'!Z180-1</f>
        <v>0</v>
      </c>
      <c r="V180" s="62">
        <f>U180*'Расчет субсидий'!AA180</f>
        <v>0</v>
      </c>
      <c r="W180" s="63">
        <f t="shared" si="68"/>
        <v>0</v>
      </c>
      <c r="X180" s="62">
        <f t="shared" si="69"/>
        <v>54.098360655737714</v>
      </c>
    </row>
    <row r="181" spans="1:24" ht="15" customHeight="1">
      <c r="A181" s="36" t="s">
        <v>179</v>
      </c>
      <c r="B181" s="60">
        <f>'Расчет субсидий'!AG181</f>
        <v>-2.790909090909091</v>
      </c>
      <c r="C181" s="62">
        <f>'Расчет субсидий'!D181-1</f>
        <v>-1</v>
      </c>
      <c r="D181" s="62">
        <f>C181*'Расчет субсидий'!E181</f>
        <v>0</v>
      </c>
      <c r="E181" s="63">
        <f t="shared" si="64"/>
        <v>0</v>
      </c>
      <c r="F181" s="30" t="s">
        <v>376</v>
      </c>
      <c r="G181" s="30" t="s">
        <v>376</v>
      </c>
      <c r="H181" s="30" t="s">
        <v>376</v>
      </c>
      <c r="I181" s="30" t="s">
        <v>376</v>
      </c>
      <c r="J181" s="30" t="s">
        <v>376</v>
      </c>
      <c r="K181" s="30" t="s">
        <v>376</v>
      </c>
      <c r="L181" s="62">
        <f>'Расчет субсидий'!P181-1</f>
        <v>-0.91502276176024278</v>
      </c>
      <c r="M181" s="62">
        <f>L181*'Расчет субсидий'!Q181</f>
        <v>-18.300455235204854</v>
      </c>
      <c r="N181" s="63">
        <f t="shared" si="65"/>
        <v>-2.790909090909091</v>
      </c>
      <c r="O181" s="62">
        <f>'Расчет субсидий'!R181-1</f>
        <v>0</v>
      </c>
      <c r="P181" s="62">
        <f>O181*'Расчет субсидий'!S181</f>
        <v>0</v>
      </c>
      <c r="Q181" s="63">
        <f t="shared" si="66"/>
        <v>0</v>
      </c>
      <c r="R181" s="62">
        <f>'Расчет субсидий'!V181-1</f>
        <v>0</v>
      </c>
      <c r="S181" s="62">
        <f>R181*'Расчет субсидий'!W181</f>
        <v>0</v>
      </c>
      <c r="T181" s="63">
        <f t="shared" si="67"/>
        <v>0</v>
      </c>
      <c r="U181" s="62">
        <f>'Расчет субсидий'!Z181-1</f>
        <v>0</v>
      </c>
      <c r="V181" s="62">
        <f>U181*'Расчет субсидий'!AA181</f>
        <v>0</v>
      </c>
      <c r="W181" s="63">
        <f t="shared" si="68"/>
        <v>0</v>
      </c>
      <c r="X181" s="62">
        <f t="shared" si="69"/>
        <v>-18.300455235204854</v>
      </c>
    </row>
    <row r="182" spans="1:24" ht="15" customHeight="1">
      <c r="A182" s="36" t="s">
        <v>180</v>
      </c>
      <c r="B182" s="60">
        <f>'Расчет субсидий'!AG182</f>
        <v>3.327272727272728</v>
      </c>
      <c r="C182" s="62">
        <f>'Расчет субсидий'!D182-1</f>
        <v>-1</v>
      </c>
      <c r="D182" s="62">
        <f>C182*'Расчет субсидий'!E182</f>
        <v>0</v>
      </c>
      <c r="E182" s="63">
        <f t="shared" si="64"/>
        <v>0</v>
      </c>
      <c r="F182" s="30" t="s">
        <v>376</v>
      </c>
      <c r="G182" s="30" t="s">
        <v>376</v>
      </c>
      <c r="H182" s="30" t="s">
        <v>376</v>
      </c>
      <c r="I182" s="30" t="s">
        <v>376</v>
      </c>
      <c r="J182" s="30" t="s">
        <v>376</v>
      </c>
      <c r="K182" s="30" t="s">
        <v>376</v>
      </c>
      <c r="L182" s="62">
        <f>'Расчет субсидий'!P182-1</f>
        <v>-0.4198131319595545</v>
      </c>
      <c r="M182" s="62">
        <f>L182*'Расчет субсидий'!Q182</f>
        <v>-8.3962626391910895</v>
      </c>
      <c r="N182" s="63">
        <f t="shared" si="65"/>
        <v>-4.2304310671400538</v>
      </c>
      <c r="O182" s="62">
        <f>'Расчет субсидий'!R182-1</f>
        <v>0</v>
      </c>
      <c r="P182" s="62">
        <f>O182*'Расчет субсидий'!S182</f>
        <v>0</v>
      </c>
      <c r="Q182" s="63">
        <f t="shared" si="66"/>
        <v>0</v>
      </c>
      <c r="R182" s="62">
        <f>'Расчет субсидий'!V182-1</f>
        <v>0</v>
      </c>
      <c r="S182" s="62">
        <f>R182*'Расчет субсидий'!W182</f>
        <v>0</v>
      </c>
      <c r="T182" s="63">
        <f t="shared" si="67"/>
        <v>0</v>
      </c>
      <c r="U182" s="62">
        <f>'Расчет субсидий'!Z182-1</f>
        <v>0.49999999999999978</v>
      </c>
      <c r="V182" s="62">
        <f>U182*'Расчет субсидий'!AA182</f>
        <v>14.999999999999993</v>
      </c>
      <c r="W182" s="63">
        <f t="shared" si="68"/>
        <v>7.5577037944127818</v>
      </c>
      <c r="X182" s="62">
        <f t="shared" si="69"/>
        <v>6.6037373608089034</v>
      </c>
    </row>
    <row r="183" spans="1:24" ht="15" customHeight="1">
      <c r="A183" s="36" t="s">
        <v>181</v>
      </c>
      <c r="B183" s="60">
        <f>'Расчет субсидий'!AG183</f>
        <v>32.199999999999989</v>
      </c>
      <c r="C183" s="62">
        <f>'Расчет субсидий'!D183-1</f>
        <v>-1</v>
      </c>
      <c r="D183" s="62">
        <f>C183*'Расчет субсидий'!E183</f>
        <v>0</v>
      </c>
      <c r="E183" s="63">
        <f t="shared" si="64"/>
        <v>0</v>
      </c>
      <c r="F183" s="30" t="s">
        <v>376</v>
      </c>
      <c r="G183" s="30" t="s">
        <v>376</v>
      </c>
      <c r="H183" s="30" t="s">
        <v>376</v>
      </c>
      <c r="I183" s="30" t="s">
        <v>376</v>
      </c>
      <c r="J183" s="30" t="s">
        <v>376</v>
      </c>
      <c r="K183" s="30" t="s">
        <v>376</v>
      </c>
      <c r="L183" s="62">
        <f>'Расчет субсидий'!P183-1</f>
        <v>1.4642857142857144</v>
      </c>
      <c r="M183" s="62">
        <f>L183*'Расчет субсидий'!Q183</f>
        <v>29.285714285714288</v>
      </c>
      <c r="N183" s="63">
        <f t="shared" si="65"/>
        <v>48.896296296296278</v>
      </c>
      <c r="O183" s="62">
        <f>'Расчет субсидий'!R183-1</f>
        <v>0</v>
      </c>
      <c r="P183" s="62">
        <f>O183*'Расчет субсидий'!S183</f>
        <v>0</v>
      </c>
      <c r="Q183" s="63">
        <f t="shared" si="66"/>
        <v>0</v>
      </c>
      <c r="R183" s="62">
        <f>'Расчет субсидий'!V183-1</f>
        <v>0</v>
      </c>
      <c r="S183" s="62">
        <f>R183*'Расчет субсидий'!W183</f>
        <v>0</v>
      </c>
      <c r="T183" s="63">
        <f t="shared" si="67"/>
        <v>0</v>
      </c>
      <c r="U183" s="62">
        <f>'Расчет субсидий'!Z183-1</f>
        <v>-0.4</v>
      </c>
      <c r="V183" s="62">
        <f>U183*'Расчет субсидий'!AA183</f>
        <v>-10</v>
      </c>
      <c r="W183" s="63">
        <f t="shared" si="68"/>
        <v>-16.696296296296289</v>
      </c>
      <c r="X183" s="62">
        <f t="shared" si="69"/>
        <v>19.285714285714288</v>
      </c>
    </row>
    <row r="184" spans="1:24" ht="15" customHeight="1">
      <c r="A184" s="36" t="s">
        <v>182</v>
      </c>
      <c r="B184" s="60">
        <f>'Расчет субсидий'!AG184</f>
        <v>-12.645454545454541</v>
      </c>
      <c r="C184" s="62">
        <f>'Расчет субсидий'!D184-1</f>
        <v>-1</v>
      </c>
      <c r="D184" s="62">
        <f>C184*'Расчет субсидий'!E184</f>
        <v>0</v>
      </c>
      <c r="E184" s="63">
        <f t="shared" si="64"/>
        <v>0</v>
      </c>
      <c r="F184" s="30" t="s">
        <v>376</v>
      </c>
      <c r="G184" s="30" t="s">
        <v>376</v>
      </c>
      <c r="H184" s="30" t="s">
        <v>376</v>
      </c>
      <c r="I184" s="30" t="s">
        <v>376</v>
      </c>
      <c r="J184" s="30" t="s">
        <v>376</v>
      </c>
      <c r="K184" s="30" t="s">
        <v>376</v>
      </c>
      <c r="L184" s="62">
        <f>'Расчет субсидий'!P184-1</f>
        <v>-9.312169312169305E-2</v>
      </c>
      <c r="M184" s="62">
        <f>L184*'Расчет субсидий'!Q184</f>
        <v>-1.862433862433861</v>
      </c>
      <c r="N184" s="63">
        <f t="shared" si="65"/>
        <v>-1.7196059493915381</v>
      </c>
      <c r="O184" s="62">
        <f>'Расчет субсидий'!R184-1</f>
        <v>0</v>
      </c>
      <c r="P184" s="62">
        <f>O184*'Расчет субсидий'!S184</f>
        <v>0</v>
      </c>
      <c r="Q184" s="63">
        <f t="shared" si="66"/>
        <v>0</v>
      </c>
      <c r="R184" s="62">
        <f>'Расчет субсидий'!V184-1</f>
        <v>-0.59166666666666656</v>
      </c>
      <c r="S184" s="62">
        <f>R184*'Расчет субсидий'!W184</f>
        <v>-11.833333333333332</v>
      </c>
      <c r="T184" s="63">
        <f t="shared" si="67"/>
        <v>-10.925848596063004</v>
      </c>
      <c r="U184" s="62">
        <f>'Расчет субсидий'!Z184-1</f>
        <v>0</v>
      </c>
      <c r="V184" s="62">
        <f>U184*'Расчет субсидий'!AA184</f>
        <v>0</v>
      </c>
      <c r="W184" s="63">
        <f t="shared" si="68"/>
        <v>0</v>
      </c>
      <c r="X184" s="62">
        <f t="shared" si="69"/>
        <v>-13.695767195767193</v>
      </c>
    </row>
    <row r="185" spans="1:24" ht="15" customHeight="1">
      <c r="A185" s="35" t="s">
        <v>183</v>
      </c>
      <c r="B185" s="64"/>
      <c r="C185" s="65"/>
      <c r="D185" s="65"/>
      <c r="E185" s="66"/>
      <c r="F185" s="65"/>
      <c r="G185" s="65"/>
      <c r="H185" s="66"/>
      <c r="I185" s="66"/>
      <c r="J185" s="66"/>
      <c r="K185" s="66"/>
      <c r="L185" s="65"/>
      <c r="M185" s="65"/>
      <c r="N185" s="66"/>
      <c r="O185" s="65"/>
      <c r="P185" s="65"/>
      <c r="Q185" s="66"/>
      <c r="R185" s="65"/>
      <c r="S185" s="65"/>
      <c r="T185" s="66"/>
      <c r="U185" s="65"/>
      <c r="V185" s="65"/>
      <c r="W185" s="66"/>
      <c r="X185" s="66"/>
    </row>
    <row r="186" spans="1:24" ht="15" customHeight="1">
      <c r="A186" s="36" t="s">
        <v>184</v>
      </c>
      <c r="B186" s="60">
        <f>'Расчет субсидий'!AG186</f>
        <v>3.163636363636364</v>
      </c>
      <c r="C186" s="62">
        <f>'Расчет субсидий'!D186-1</f>
        <v>-1</v>
      </c>
      <c r="D186" s="62">
        <f>C186*'Расчет субсидий'!E186</f>
        <v>0</v>
      </c>
      <c r="E186" s="63">
        <f t="shared" ref="E186:E198" si="70">$B186*D186/$X186</f>
        <v>0</v>
      </c>
      <c r="F186" s="30" t="s">
        <v>376</v>
      </c>
      <c r="G186" s="30" t="s">
        <v>376</v>
      </c>
      <c r="H186" s="30" t="s">
        <v>376</v>
      </c>
      <c r="I186" s="30" t="s">
        <v>376</v>
      </c>
      <c r="J186" s="30" t="s">
        <v>376</v>
      </c>
      <c r="K186" s="30" t="s">
        <v>376</v>
      </c>
      <c r="L186" s="62">
        <f>'Расчет субсидий'!P186-1</f>
        <v>-0.27321814254859611</v>
      </c>
      <c r="M186" s="62">
        <f>L186*'Расчет субсидий'!Q186</f>
        <v>-5.4643628509719218</v>
      </c>
      <c r="N186" s="63">
        <f t="shared" ref="N186:N198" si="71">$B186*M186/$X186</f>
        <v>-0.39326120848490581</v>
      </c>
      <c r="O186" s="62">
        <f>'Расчет субсидий'!R186-1</f>
        <v>0</v>
      </c>
      <c r="P186" s="62">
        <f>O186*'Расчет субсидий'!S186</f>
        <v>0</v>
      </c>
      <c r="Q186" s="63">
        <f t="shared" ref="Q186:Q198" si="72">$B186*P186/$X186</f>
        <v>0</v>
      </c>
      <c r="R186" s="62">
        <f>'Расчет субсидий'!V186-1</f>
        <v>1.7769230769230768</v>
      </c>
      <c r="S186" s="62">
        <f>R186*'Расчет субсидий'!W186</f>
        <v>44.42307692307692</v>
      </c>
      <c r="T186" s="63">
        <f t="shared" ref="T186:T198" si="73">$B186*S186/$X186</f>
        <v>3.1970557943969391</v>
      </c>
      <c r="U186" s="62">
        <f>'Расчет субсидий'!Z186-1</f>
        <v>0.19999999999999996</v>
      </c>
      <c r="V186" s="62">
        <f>U186*'Расчет субсидий'!AA186</f>
        <v>4.9999999999999991</v>
      </c>
      <c r="W186" s="63">
        <f t="shared" ref="W186:W198" si="74">$B186*V186/$X186</f>
        <v>0.35984177772433074</v>
      </c>
      <c r="X186" s="62">
        <f t="shared" si="69"/>
        <v>43.958714072104996</v>
      </c>
    </row>
    <row r="187" spans="1:24" ht="15" customHeight="1">
      <c r="A187" s="36" t="s">
        <v>185</v>
      </c>
      <c r="B187" s="60">
        <f>'Расчет субсидий'!AG187</f>
        <v>1.954545454545455</v>
      </c>
      <c r="C187" s="62">
        <f>'Расчет субсидий'!D187-1</f>
        <v>-1</v>
      </c>
      <c r="D187" s="62">
        <f>C187*'Расчет субсидий'!E187</f>
        <v>0</v>
      </c>
      <c r="E187" s="63">
        <f t="shared" si="70"/>
        <v>0</v>
      </c>
      <c r="F187" s="30" t="s">
        <v>376</v>
      </c>
      <c r="G187" s="30" t="s">
        <v>376</v>
      </c>
      <c r="H187" s="30" t="s">
        <v>376</v>
      </c>
      <c r="I187" s="30" t="s">
        <v>376</v>
      </c>
      <c r="J187" s="30" t="s">
        <v>376</v>
      </c>
      <c r="K187" s="30" t="s">
        <v>376</v>
      </c>
      <c r="L187" s="62">
        <f>'Расчет субсидий'!P187-1</f>
        <v>0.23941605839416069</v>
      </c>
      <c r="M187" s="62">
        <f>L187*'Расчет субсидий'!Q187</f>
        <v>4.7883211678832138</v>
      </c>
      <c r="N187" s="63">
        <f t="shared" si="71"/>
        <v>0.37156074480752843</v>
      </c>
      <c r="O187" s="62">
        <f>'Расчет субсидий'!R187-1</f>
        <v>0</v>
      </c>
      <c r="P187" s="62">
        <f>O187*'Расчет субсидий'!S187</f>
        <v>0</v>
      </c>
      <c r="Q187" s="63">
        <f t="shared" si="72"/>
        <v>0</v>
      </c>
      <c r="R187" s="62">
        <f>'Расчет субсидий'!V187-1</f>
        <v>0.72</v>
      </c>
      <c r="S187" s="62">
        <f>R187*'Расчет субсидий'!W187</f>
        <v>14.399999999999999</v>
      </c>
      <c r="T187" s="63">
        <f t="shared" si="73"/>
        <v>1.1174009715797129</v>
      </c>
      <c r="U187" s="62">
        <f>'Расчет субсидий'!Z187-1</f>
        <v>0.19999999999999996</v>
      </c>
      <c r="V187" s="62">
        <f>U187*'Расчет субсидий'!AA187</f>
        <v>5.9999999999999982</v>
      </c>
      <c r="W187" s="63">
        <f t="shared" si="74"/>
        <v>0.46558373815821363</v>
      </c>
      <c r="X187" s="62">
        <f t="shared" si="69"/>
        <v>25.18832116788321</v>
      </c>
    </row>
    <row r="188" spans="1:24" ht="15" customHeight="1">
      <c r="A188" s="36" t="s">
        <v>186</v>
      </c>
      <c r="B188" s="60">
        <f>'Расчет субсидий'!AG188</f>
        <v>-5.0181818181818159</v>
      </c>
      <c r="C188" s="62">
        <f>'Расчет субсидий'!D188-1</f>
        <v>-1</v>
      </c>
      <c r="D188" s="62">
        <f>C188*'Расчет субсидий'!E188</f>
        <v>0</v>
      </c>
      <c r="E188" s="63">
        <f t="shared" si="70"/>
        <v>0</v>
      </c>
      <c r="F188" s="30" t="s">
        <v>376</v>
      </c>
      <c r="G188" s="30" t="s">
        <v>376</v>
      </c>
      <c r="H188" s="30" t="s">
        <v>376</v>
      </c>
      <c r="I188" s="30" t="s">
        <v>376</v>
      </c>
      <c r="J188" s="30" t="s">
        <v>376</v>
      </c>
      <c r="K188" s="30" t="s">
        <v>376</v>
      </c>
      <c r="L188" s="62">
        <f>'Расчет субсидий'!P188-1</f>
        <v>4.6444121915819814E-2</v>
      </c>
      <c r="M188" s="62">
        <f>L188*'Расчет субсидий'!Q188</f>
        <v>0.92888243831639628</v>
      </c>
      <c r="N188" s="63">
        <f t="shared" si="71"/>
        <v>0.9897489486999127</v>
      </c>
      <c r="O188" s="62">
        <f>'Расчет субсидий'!R188-1</f>
        <v>0</v>
      </c>
      <c r="P188" s="62">
        <f>O188*'Расчет субсидий'!S188</f>
        <v>0</v>
      </c>
      <c r="Q188" s="63">
        <f t="shared" si="72"/>
        <v>0</v>
      </c>
      <c r="R188" s="62">
        <f>'Расчет субсидий'!V188-1</f>
        <v>-0.25461538461538458</v>
      </c>
      <c r="S188" s="62">
        <f>R188*'Расчет субсидий'!W188</f>
        <v>-7.6384615384615371</v>
      </c>
      <c r="T188" s="63">
        <f t="shared" si="73"/>
        <v>-8.1389839720512391</v>
      </c>
      <c r="U188" s="62">
        <f>'Расчет субсидий'!Z188-1</f>
        <v>0.10000000000000009</v>
      </c>
      <c r="V188" s="62">
        <f>U188*'Расчет субсидий'!AA188</f>
        <v>2.0000000000000018</v>
      </c>
      <c r="W188" s="63">
        <f t="shared" si="74"/>
        <v>2.1310532051695112</v>
      </c>
      <c r="X188" s="62">
        <f t="shared" si="69"/>
        <v>-4.709579100145139</v>
      </c>
    </row>
    <row r="189" spans="1:24" ht="15" customHeight="1">
      <c r="A189" s="36" t="s">
        <v>187</v>
      </c>
      <c r="B189" s="60">
        <f>'Расчет субсидий'!AG189</f>
        <v>88.154545454545428</v>
      </c>
      <c r="C189" s="62">
        <f>'Расчет субсидий'!D189-1</f>
        <v>0.18759733973144765</v>
      </c>
      <c r="D189" s="62">
        <f>C189*'Расчет субсидий'!E189</f>
        <v>1.8759733973144765</v>
      </c>
      <c r="E189" s="63">
        <f t="shared" si="70"/>
        <v>2.1639438025034168</v>
      </c>
      <c r="F189" s="30" t="s">
        <v>376</v>
      </c>
      <c r="G189" s="30" t="s">
        <v>376</v>
      </c>
      <c r="H189" s="30" t="s">
        <v>376</v>
      </c>
      <c r="I189" s="30" t="s">
        <v>376</v>
      </c>
      <c r="J189" s="30" t="s">
        <v>376</v>
      </c>
      <c r="K189" s="30" t="s">
        <v>376</v>
      </c>
      <c r="L189" s="62">
        <f>'Расчет субсидий'!P189-1</f>
        <v>-0.17263700351935651</v>
      </c>
      <c r="M189" s="62">
        <f>L189*'Расчет субсидий'!Q189</f>
        <v>-3.4527400703871303</v>
      </c>
      <c r="N189" s="63">
        <f t="shared" si="71"/>
        <v>-3.9827512946959764</v>
      </c>
      <c r="O189" s="62">
        <f>'Расчет субсидий'!R189-1</f>
        <v>0</v>
      </c>
      <c r="P189" s="62">
        <f>O189*'Расчет субсидий'!S189</f>
        <v>0</v>
      </c>
      <c r="Q189" s="63">
        <f t="shared" si="72"/>
        <v>0</v>
      </c>
      <c r="R189" s="62">
        <f>'Расчет субсидий'!V189-1</f>
        <v>6.6666666666666652E-2</v>
      </c>
      <c r="S189" s="62">
        <f>R189*'Расчет субсидий'!W189</f>
        <v>0.66666666666666652</v>
      </c>
      <c r="T189" s="63">
        <f t="shared" si="73"/>
        <v>0.7690030166387859</v>
      </c>
      <c r="U189" s="62">
        <f>'Расчет субсидий'!Z189-1</f>
        <v>1.9333333333333336</v>
      </c>
      <c r="V189" s="62">
        <f>U189*'Расчет субсидий'!AA189</f>
        <v>77.333333333333343</v>
      </c>
      <c r="W189" s="63">
        <f t="shared" si="74"/>
        <v>89.204349930099198</v>
      </c>
      <c r="X189" s="62">
        <f t="shared" si="69"/>
        <v>76.42323332692736</v>
      </c>
    </row>
    <row r="190" spans="1:24" ht="15" customHeight="1">
      <c r="A190" s="36" t="s">
        <v>188</v>
      </c>
      <c r="B190" s="60">
        <f>'Расчет субсидий'!AG190</f>
        <v>17.336363636363643</v>
      </c>
      <c r="C190" s="62">
        <f>'Расчет субсидий'!D190-1</f>
        <v>-1</v>
      </c>
      <c r="D190" s="62">
        <f>C190*'Расчет субсидий'!E190</f>
        <v>0</v>
      </c>
      <c r="E190" s="63">
        <f t="shared" si="70"/>
        <v>0</v>
      </c>
      <c r="F190" s="30" t="s">
        <v>376</v>
      </c>
      <c r="G190" s="30" t="s">
        <v>376</v>
      </c>
      <c r="H190" s="30" t="s">
        <v>376</v>
      </c>
      <c r="I190" s="30" t="s">
        <v>376</v>
      </c>
      <c r="J190" s="30" t="s">
        <v>376</v>
      </c>
      <c r="K190" s="30" t="s">
        <v>376</v>
      </c>
      <c r="L190" s="62">
        <f>'Расчет субсидий'!P190-1</f>
        <v>-0.15124077800134139</v>
      </c>
      <c r="M190" s="62">
        <f>L190*'Расчет субсидий'!Q190</f>
        <v>-3.0248155600268278</v>
      </c>
      <c r="N190" s="63">
        <f t="shared" si="71"/>
        <v>-2.4206382521885259</v>
      </c>
      <c r="O190" s="62">
        <f>'Расчет субсидий'!R190-1</f>
        <v>0</v>
      </c>
      <c r="P190" s="62">
        <f>O190*'Расчет субсидий'!S190</f>
        <v>0</v>
      </c>
      <c r="Q190" s="63">
        <f t="shared" si="72"/>
        <v>0</v>
      </c>
      <c r="R190" s="62">
        <f>'Расчет субсидий'!V190-1</f>
        <v>0.68823529411764706</v>
      </c>
      <c r="S190" s="62">
        <f>R190*'Расчет субсидий'!W190</f>
        <v>24.088235294117649</v>
      </c>
      <c r="T190" s="63">
        <f t="shared" si="73"/>
        <v>19.276846017064837</v>
      </c>
      <c r="U190" s="62">
        <f>'Расчет субсидий'!Z190-1</f>
        <v>4.0000000000000036E-2</v>
      </c>
      <c r="V190" s="62">
        <f>U190*'Расчет субсидий'!AA190</f>
        <v>0.60000000000000053</v>
      </c>
      <c r="W190" s="63">
        <f t="shared" si="74"/>
        <v>0.48015587148732969</v>
      </c>
      <c r="X190" s="62">
        <f t="shared" si="69"/>
        <v>21.663419734090823</v>
      </c>
    </row>
    <row r="191" spans="1:24" ht="15" customHeight="1">
      <c r="A191" s="36" t="s">
        <v>189</v>
      </c>
      <c r="B191" s="60">
        <f>'Расчет субсидий'!AG191</f>
        <v>18.881818181818183</v>
      </c>
      <c r="C191" s="62">
        <f>'Расчет субсидий'!D191-1</f>
        <v>-1</v>
      </c>
      <c r="D191" s="62">
        <f>C191*'Расчет субсидий'!E191</f>
        <v>0</v>
      </c>
      <c r="E191" s="63">
        <f t="shared" si="70"/>
        <v>0</v>
      </c>
      <c r="F191" s="30" t="s">
        <v>376</v>
      </c>
      <c r="G191" s="30" t="s">
        <v>376</v>
      </c>
      <c r="H191" s="30" t="s">
        <v>376</v>
      </c>
      <c r="I191" s="30" t="s">
        <v>376</v>
      </c>
      <c r="J191" s="30" t="s">
        <v>376</v>
      </c>
      <c r="K191" s="30" t="s">
        <v>376</v>
      </c>
      <c r="L191" s="62">
        <f>'Расчет субсидий'!P191-1</f>
        <v>11.478154148257243</v>
      </c>
      <c r="M191" s="62">
        <f>L191*'Расчет субсидий'!Q191</f>
        <v>229.56308296514487</v>
      </c>
      <c r="N191" s="63">
        <f t="shared" si="71"/>
        <v>16.858397637417752</v>
      </c>
      <c r="O191" s="62">
        <f>'Расчет субсидий'!R191-1</f>
        <v>0</v>
      </c>
      <c r="P191" s="62">
        <f>O191*'Расчет субсидий'!S191</f>
        <v>0</v>
      </c>
      <c r="Q191" s="63">
        <f t="shared" si="72"/>
        <v>0</v>
      </c>
      <c r="R191" s="62">
        <f>'Расчет субсидий'!V191-1</f>
        <v>1.0021276595744681</v>
      </c>
      <c r="S191" s="62">
        <f>R191*'Расчет субсидий'!W191</f>
        <v>25.053191489361705</v>
      </c>
      <c r="T191" s="63">
        <f t="shared" si="73"/>
        <v>1.8398283328428611</v>
      </c>
      <c r="U191" s="62">
        <f>'Расчет субсидий'!Z191-1</f>
        <v>0.10000000000000009</v>
      </c>
      <c r="V191" s="62">
        <f>U191*'Расчет субсидий'!AA191</f>
        <v>2.5000000000000022</v>
      </c>
      <c r="W191" s="63">
        <f t="shared" si="74"/>
        <v>0.18359221155756802</v>
      </c>
      <c r="X191" s="62">
        <f t="shared" si="69"/>
        <v>257.11627445450659</v>
      </c>
    </row>
    <row r="192" spans="1:24" ht="15" customHeight="1">
      <c r="A192" s="36" t="s">
        <v>190</v>
      </c>
      <c r="B192" s="60">
        <f>'Расчет субсидий'!AG192</f>
        <v>6.9090909090909065</v>
      </c>
      <c r="C192" s="62">
        <f>'Расчет субсидий'!D192-1</f>
        <v>-1</v>
      </c>
      <c r="D192" s="62">
        <f>C192*'Расчет субсидий'!E192</f>
        <v>0</v>
      </c>
      <c r="E192" s="63">
        <f t="shared" si="70"/>
        <v>0</v>
      </c>
      <c r="F192" s="30" t="s">
        <v>376</v>
      </c>
      <c r="G192" s="30" t="s">
        <v>376</v>
      </c>
      <c r="H192" s="30" t="s">
        <v>376</v>
      </c>
      <c r="I192" s="30" t="s">
        <v>376</v>
      </c>
      <c r="J192" s="30" t="s">
        <v>376</v>
      </c>
      <c r="K192" s="30" t="s">
        <v>376</v>
      </c>
      <c r="L192" s="62">
        <f>'Расчет субсидий'!P192-1</f>
        <v>-0.92964087530101558</v>
      </c>
      <c r="M192" s="62">
        <f>L192*'Расчет субсидий'!Q192</f>
        <v>-18.59281750602031</v>
      </c>
      <c r="N192" s="63">
        <f t="shared" si="71"/>
        <v>-7.0168889422211755</v>
      </c>
      <c r="O192" s="62">
        <f>'Расчет субсидий'!R192-1</f>
        <v>0</v>
      </c>
      <c r="P192" s="62">
        <f>O192*'Расчет субсидий'!S192</f>
        <v>0</v>
      </c>
      <c r="Q192" s="63">
        <f t="shared" si="72"/>
        <v>0</v>
      </c>
      <c r="R192" s="62">
        <f>'Расчет субсидий'!V192-1</f>
        <v>1.3759999999999999</v>
      </c>
      <c r="S192" s="62">
        <f>R192*'Расчет субсидий'!W192</f>
        <v>34.4</v>
      </c>
      <c r="T192" s="63">
        <f t="shared" si="73"/>
        <v>12.982485281439988</v>
      </c>
      <c r="U192" s="62">
        <f>'Расчет субсидий'!Z192-1</f>
        <v>0.10000000000000009</v>
      </c>
      <c r="V192" s="62">
        <f>U192*'Расчет субсидий'!AA192</f>
        <v>2.5000000000000022</v>
      </c>
      <c r="W192" s="63">
        <f t="shared" si="74"/>
        <v>0.94349456987209301</v>
      </c>
      <c r="X192" s="62">
        <f t="shared" si="69"/>
        <v>18.307182493979692</v>
      </c>
    </row>
    <row r="193" spans="1:24" ht="15" customHeight="1">
      <c r="A193" s="36" t="s">
        <v>191</v>
      </c>
      <c r="B193" s="60">
        <f>'Расчет субсидий'!AG193</f>
        <v>19.936363636363637</v>
      </c>
      <c r="C193" s="62">
        <f>'Расчет субсидий'!D193-1</f>
        <v>0.23678607794131268</v>
      </c>
      <c r="D193" s="62">
        <f>C193*'Расчет субсидий'!E193</f>
        <v>2.3678607794131268</v>
      </c>
      <c r="E193" s="63">
        <f t="shared" si="70"/>
        <v>1.7141321501280282</v>
      </c>
      <c r="F193" s="30" t="s">
        <v>376</v>
      </c>
      <c r="G193" s="30" t="s">
        <v>376</v>
      </c>
      <c r="H193" s="30" t="s">
        <v>376</v>
      </c>
      <c r="I193" s="30" t="s">
        <v>376</v>
      </c>
      <c r="J193" s="30" t="s">
        <v>376</v>
      </c>
      <c r="K193" s="30" t="s">
        <v>376</v>
      </c>
      <c r="L193" s="62">
        <f>'Расчет субсидий'!P193-1</f>
        <v>1.1514336917562726</v>
      </c>
      <c r="M193" s="62">
        <f>L193*'Расчет субсидий'!Q193</f>
        <v>23.028673835125453</v>
      </c>
      <c r="N193" s="63">
        <f t="shared" si="71"/>
        <v>16.670823951644792</v>
      </c>
      <c r="O193" s="62">
        <f>'Расчет субсидий'!R193-1</f>
        <v>0</v>
      </c>
      <c r="P193" s="62">
        <f>O193*'Расчет субсидий'!S193</f>
        <v>0</v>
      </c>
      <c r="Q193" s="63">
        <f t="shared" si="72"/>
        <v>0</v>
      </c>
      <c r="R193" s="62">
        <f>'Расчет субсидий'!V193-1</f>
        <v>3.485714285714292E-2</v>
      </c>
      <c r="S193" s="62">
        <f>R193*'Расчет субсидий'!W193</f>
        <v>1.2200000000000022</v>
      </c>
      <c r="T193" s="63">
        <f t="shared" si="73"/>
        <v>0.88317744072542625</v>
      </c>
      <c r="U193" s="62">
        <f>'Расчет субсидий'!Z193-1</f>
        <v>6.1538461538461542E-2</v>
      </c>
      <c r="V193" s="62">
        <f>U193*'Расчет субсидий'!AA193</f>
        <v>0.92307692307692313</v>
      </c>
      <c r="W193" s="63">
        <f t="shared" si="74"/>
        <v>0.66823009386539067</v>
      </c>
      <c r="X193" s="62">
        <f t="shared" si="69"/>
        <v>27.539611537615507</v>
      </c>
    </row>
    <row r="194" spans="1:24" ht="15" customHeight="1">
      <c r="A194" s="36" t="s">
        <v>192</v>
      </c>
      <c r="B194" s="60">
        <f>'Расчет субсидий'!AG194</f>
        <v>7.9636363636363683</v>
      </c>
      <c r="C194" s="62">
        <f>'Расчет субсидий'!D194-1</f>
        <v>-1</v>
      </c>
      <c r="D194" s="62">
        <f>C194*'Расчет субсидий'!E194</f>
        <v>0</v>
      </c>
      <c r="E194" s="63">
        <f t="shared" si="70"/>
        <v>0</v>
      </c>
      <c r="F194" s="30" t="s">
        <v>376</v>
      </c>
      <c r="G194" s="30" t="s">
        <v>376</v>
      </c>
      <c r="H194" s="30" t="s">
        <v>376</v>
      </c>
      <c r="I194" s="30" t="s">
        <v>376</v>
      </c>
      <c r="J194" s="30" t="s">
        <v>376</v>
      </c>
      <c r="K194" s="30" t="s">
        <v>376</v>
      </c>
      <c r="L194" s="62">
        <f>'Расчет субсидий'!P194-1</f>
        <v>-0.65798958750500591</v>
      </c>
      <c r="M194" s="62">
        <f>L194*'Расчет субсидий'!Q194</f>
        <v>-13.159791750100119</v>
      </c>
      <c r="N194" s="63">
        <f t="shared" si="71"/>
        <v>-26.088217584328412</v>
      </c>
      <c r="O194" s="62">
        <f>'Расчет субсидий'!R194-1</f>
        <v>0</v>
      </c>
      <c r="P194" s="62">
        <f>O194*'Расчет субсидий'!S194</f>
        <v>0</v>
      </c>
      <c r="Q194" s="63">
        <f t="shared" si="72"/>
        <v>0</v>
      </c>
      <c r="R194" s="62">
        <f>'Расчет субсидий'!V194-1</f>
        <v>0.51923076923076916</v>
      </c>
      <c r="S194" s="62">
        <f>R194*'Расчет субсидий'!W194</f>
        <v>15.576923076923075</v>
      </c>
      <c r="T194" s="63">
        <f t="shared" si="73"/>
        <v>30.879983987742353</v>
      </c>
      <c r="U194" s="62">
        <f>'Расчет субсидий'!Z194-1</f>
        <v>8.0000000000000071E-2</v>
      </c>
      <c r="V194" s="62">
        <f>U194*'Расчет субсидий'!AA194</f>
        <v>1.6000000000000014</v>
      </c>
      <c r="W194" s="63">
        <f t="shared" si="74"/>
        <v>3.1718699602224274</v>
      </c>
      <c r="X194" s="62">
        <f t="shared" si="69"/>
        <v>4.0171313268229571</v>
      </c>
    </row>
    <row r="195" spans="1:24" ht="15" customHeight="1">
      <c r="A195" s="36" t="s">
        <v>193</v>
      </c>
      <c r="B195" s="60">
        <f>'Расчет субсидий'!AG195</f>
        <v>18.572727272727263</v>
      </c>
      <c r="C195" s="62">
        <f>'Расчет субсидий'!D195-1</f>
        <v>-1</v>
      </c>
      <c r="D195" s="62">
        <f>C195*'Расчет субсидий'!E195</f>
        <v>0</v>
      </c>
      <c r="E195" s="63">
        <f t="shared" si="70"/>
        <v>0</v>
      </c>
      <c r="F195" s="30" t="s">
        <v>376</v>
      </c>
      <c r="G195" s="30" t="s">
        <v>376</v>
      </c>
      <c r="H195" s="30" t="s">
        <v>376</v>
      </c>
      <c r="I195" s="30" t="s">
        <v>376</v>
      </c>
      <c r="J195" s="30" t="s">
        <v>376</v>
      </c>
      <c r="K195" s="30" t="s">
        <v>376</v>
      </c>
      <c r="L195" s="62">
        <f>'Расчет субсидий'!P195-1</f>
        <v>-0.26046511627906976</v>
      </c>
      <c r="M195" s="62">
        <f>L195*'Расчет субсидий'!Q195</f>
        <v>-5.2093023255813957</v>
      </c>
      <c r="N195" s="63">
        <f t="shared" si="71"/>
        <v>-6.610093109042019</v>
      </c>
      <c r="O195" s="62">
        <f>'Расчет субсидий'!R195-1</f>
        <v>0</v>
      </c>
      <c r="P195" s="62">
        <f>O195*'Расчет субсидий'!S195</f>
        <v>0</v>
      </c>
      <c r="Q195" s="63">
        <f t="shared" si="72"/>
        <v>0</v>
      </c>
      <c r="R195" s="62">
        <f>'Расчет субсидий'!V195-1</f>
        <v>0.61153846153846159</v>
      </c>
      <c r="S195" s="62">
        <f>R195*'Расчет субсидий'!W195</f>
        <v>18.346153846153847</v>
      </c>
      <c r="T195" s="63">
        <f t="shared" si="73"/>
        <v>23.279467678496026</v>
      </c>
      <c r="U195" s="62">
        <f>'Расчет субсидий'!Z195-1</f>
        <v>7.4999999999999956E-2</v>
      </c>
      <c r="V195" s="62">
        <f>U195*'Расчет субсидий'!AA195</f>
        <v>1.4999999999999991</v>
      </c>
      <c r="W195" s="63">
        <f t="shared" si="74"/>
        <v>1.9033527032732587</v>
      </c>
      <c r="X195" s="62">
        <f t="shared" si="69"/>
        <v>14.636851520572449</v>
      </c>
    </row>
    <row r="196" spans="1:24" ht="15" customHeight="1">
      <c r="A196" s="36" t="s">
        <v>194</v>
      </c>
      <c r="B196" s="60">
        <f>'Расчет субсидий'!AG196</f>
        <v>3.4454545454545453</v>
      </c>
      <c r="C196" s="62">
        <f>'Расчет субсидий'!D196-1</f>
        <v>-1</v>
      </c>
      <c r="D196" s="62">
        <f>C196*'Расчет субсидий'!E196</f>
        <v>0</v>
      </c>
      <c r="E196" s="63">
        <f t="shared" si="70"/>
        <v>0</v>
      </c>
      <c r="F196" s="30" t="s">
        <v>376</v>
      </c>
      <c r="G196" s="30" t="s">
        <v>376</v>
      </c>
      <c r="H196" s="30" t="s">
        <v>376</v>
      </c>
      <c r="I196" s="30" t="s">
        <v>376</v>
      </c>
      <c r="J196" s="30" t="s">
        <v>376</v>
      </c>
      <c r="K196" s="30" t="s">
        <v>376</v>
      </c>
      <c r="L196" s="62">
        <f>'Расчет субсидий'!P196-1</f>
        <v>-0.8698961937716263</v>
      </c>
      <c r="M196" s="62">
        <f>L196*'Расчет субсидий'!Q196</f>
        <v>-17.397923875432525</v>
      </c>
      <c r="N196" s="63">
        <f t="shared" si="71"/>
        <v>-3.5747316685790369</v>
      </c>
      <c r="O196" s="62">
        <f>'Расчет субсидий'!R196-1</f>
        <v>0</v>
      </c>
      <c r="P196" s="62">
        <f>O196*'Расчет субсидий'!S196</f>
        <v>0</v>
      </c>
      <c r="Q196" s="63">
        <f t="shared" si="72"/>
        <v>0</v>
      </c>
      <c r="R196" s="62">
        <f>'Расчет субсидий'!V196-1</f>
        <v>1.3000000000000003</v>
      </c>
      <c r="S196" s="62">
        <f>R196*'Расчет субсидий'!W196</f>
        <v>32.500000000000007</v>
      </c>
      <c r="T196" s="63">
        <f t="shared" si="73"/>
        <v>6.6777381060319438</v>
      </c>
      <c r="U196" s="62">
        <f>'Расчет субсидий'!Z196-1</f>
        <v>6.6666666666666652E-2</v>
      </c>
      <c r="V196" s="62">
        <f>U196*'Расчет субсидий'!AA196</f>
        <v>1.6666666666666663</v>
      </c>
      <c r="W196" s="63">
        <f t="shared" si="74"/>
        <v>0.34244810800163805</v>
      </c>
      <c r="X196" s="62">
        <f t="shared" si="69"/>
        <v>16.76874279123415</v>
      </c>
    </row>
    <row r="197" spans="1:24" ht="15" customHeight="1">
      <c r="A197" s="36" t="s">
        <v>195</v>
      </c>
      <c r="B197" s="60">
        <f>'Расчет субсидий'!AG197</f>
        <v>10.918181818181822</v>
      </c>
      <c r="C197" s="62">
        <f>'Расчет субсидий'!D197-1</f>
        <v>-1</v>
      </c>
      <c r="D197" s="62">
        <f>C197*'Расчет субсидий'!E197</f>
        <v>0</v>
      </c>
      <c r="E197" s="63">
        <f t="shared" si="70"/>
        <v>0</v>
      </c>
      <c r="F197" s="30" t="s">
        <v>376</v>
      </c>
      <c r="G197" s="30" t="s">
        <v>376</v>
      </c>
      <c r="H197" s="30" t="s">
        <v>376</v>
      </c>
      <c r="I197" s="30" t="s">
        <v>376</v>
      </c>
      <c r="J197" s="30" t="s">
        <v>376</v>
      </c>
      <c r="K197" s="30" t="s">
        <v>376</v>
      </c>
      <c r="L197" s="62">
        <f>'Расчет субсидий'!P197-1</f>
        <v>3.2830093410754859</v>
      </c>
      <c r="M197" s="62">
        <f>L197*'Расчет субсидий'!Q197</f>
        <v>65.660186821509711</v>
      </c>
      <c r="N197" s="63">
        <f t="shared" si="71"/>
        <v>9.9773328471059841</v>
      </c>
      <c r="O197" s="62">
        <f>'Расчет субсидий'!R197-1</f>
        <v>0</v>
      </c>
      <c r="P197" s="62">
        <f>O197*'Расчет субсидий'!S197</f>
        <v>0</v>
      </c>
      <c r="Q197" s="63">
        <f t="shared" si="72"/>
        <v>0</v>
      </c>
      <c r="R197" s="62">
        <f>'Расчет субсидий'!V197-1</f>
        <v>0.11499999999999999</v>
      </c>
      <c r="S197" s="62">
        <f>R197*'Расчет субсидий'!W197</f>
        <v>4.0249999999999995</v>
      </c>
      <c r="T197" s="63">
        <f t="shared" si="73"/>
        <v>0.61161514539653905</v>
      </c>
      <c r="U197" s="62">
        <f>'Расчет субсидий'!Z197-1</f>
        <v>0.1444444444444446</v>
      </c>
      <c r="V197" s="62">
        <f>U197*'Расчет субсидий'!AA197</f>
        <v>2.1666666666666687</v>
      </c>
      <c r="W197" s="63">
        <f t="shared" si="74"/>
        <v>0.32923382567929677</v>
      </c>
      <c r="X197" s="62">
        <f t="shared" si="69"/>
        <v>71.851853488176388</v>
      </c>
    </row>
    <row r="198" spans="1:24" ht="15" customHeight="1">
      <c r="A198" s="36" t="s">
        <v>196</v>
      </c>
      <c r="B198" s="60">
        <f>'Расчет субсидий'!AG198</f>
        <v>-14.981818181818184</v>
      </c>
      <c r="C198" s="62">
        <f>'Расчет субсидий'!D198-1</f>
        <v>-1</v>
      </c>
      <c r="D198" s="62">
        <f>C198*'Расчет субсидий'!E198</f>
        <v>0</v>
      </c>
      <c r="E198" s="63">
        <f t="shared" si="70"/>
        <v>0</v>
      </c>
      <c r="F198" s="30" t="s">
        <v>376</v>
      </c>
      <c r="G198" s="30" t="s">
        <v>376</v>
      </c>
      <c r="H198" s="30" t="s">
        <v>376</v>
      </c>
      <c r="I198" s="30" t="s">
        <v>376</v>
      </c>
      <c r="J198" s="30" t="s">
        <v>376</v>
      </c>
      <c r="K198" s="30" t="s">
        <v>376</v>
      </c>
      <c r="L198" s="62">
        <f>'Расчет субсидий'!P198-1</f>
        <v>-0.6444897959183673</v>
      </c>
      <c r="M198" s="62">
        <f>L198*'Расчет субсидий'!Q198</f>
        <v>-12.889795918367346</v>
      </c>
      <c r="N198" s="63">
        <f t="shared" si="71"/>
        <v>-20.022667508036843</v>
      </c>
      <c r="O198" s="62">
        <f>'Расчет субсидий'!R198-1</f>
        <v>0</v>
      </c>
      <c r="P198" s="62">
        <f>O198*'Расчет субсидий'!S198</f>
        <v>0</v>
      </c>
      <c r="Q198" s="63">
        <f t="shared" si="72"/>
        <v>0</v>
      </c>
      <c r="R198" s="62">
        <f>'Расчет субсидий'!V198-1</f>
        <v>9.6470588235294086E-2</v>
      </c>
      <c r="S198" s="62">
        <f>R198*'Расчет субсидий'!W198</f>
        <v>2.4117647058823524</v>
      </c>
      <c r="T198" s="63">
        <f t="shared" si="73"/>
        <v>3.7463714025673371</v>
      </c>
      <c r="U198" s="62">
        <f>'Расчет субсидий'!Z198-1</f>
        <v>3.3333333333333437E-2</v>
      </c>
      <c r="V198" s="62">
        <f>U198*'Расчет субсидий'!AA198</f>
        <v>0.83333333333333592</v>
      </c>
      <c r="W198" s="63">
        <f t="shared" si="74"/>
        <v>1.2944779236513198</v>
      </c>
      <c r="X198" s="62">
        <f t="shared" si="69"/>
        <v>-9.6446978791516571</v>
      </c>
    </row>
    <row r="199" spans="1:24" ht="15" customHeight="1">
      <c r="A199" s="35" t="s">
        <v>197</v>
      </c>
      <c r="B199" s="64"/>
      <c r="C199" s="65"/>
      <c r="D199" s="65"/>
      <c r="E199" s="66"/>
      <c r="F199" s="65"/>
      <c r="G199" s="65"/>
      <c r="H199" s="66"/>
      <c r="I199" s="66"/>
      <c r="J199" s="66"/>
      <c r="K199" s="66"/>
      <c r="L199" s="65"/>
      <c r="M199" s="65"/>
      <c r="N199" s="66"/>
      <c r="O199" s="65"/>
      <c r="P199" s="65"/>
      <c r="Q199" s="66"/>
      <c r="R199" s="65"/>
      <c r="S199" s="65"/>
      <c r="T199" s="66"/>
      <c r="U199" s="65"/>
      <c r="V199" s="65"/>
      <c r="W199" s="66"/>
      <c r="X199" s="66"/>
    </row>
    <row r="200" spans="1:24" ht="15" customHeight="1">
      <c r="A200" s="36" t="s">
        <v>198</v>
      </c>
      <c r="B200" s="60">
        <f>'Расчет субсидий'!AG200</f>
        <v>35.245454545454535</v>
      </c>
      <c r="C200" s="62">
        <f>'Расчет субсидий'!D200-1</f>
        <v>-1</v>
      </c>
      <c r="D200" s="62">
        <f>C200*'Расчет субсидий'!E200</f>
        <v>0</v>
      </c>
      <c r="E200" s="63">
        <f t="shared" ref="E200:E211" si="75">$B200*D200/$X200</f>
        <v>0</v>
      </c>
      <c r="F200" s="30" t="s">
        <v>376</v>
      </c>
      <c r="G200" s="30" t="s">
        <v>376</v>
      </c>
      <c r="H200" s="30" t="s">
        <v>376</v>
      </c>
      <c r="I200" s="30" t="s">
        <v>376</v>
      </c>
      <c r="J200" s="30" t="s">
        <v>376</v>
      </c>
      <c r="K200" s="30" t="s">
        <v>376</v>
      </c>
      <c r="L200" s="62">
        <f>'Расчет субсидий'!P200-1</f>
        <v>-0.51858108108108103</v>
      </c>
      <c r="M200" s="62">
        <f>L200*'Расчет субсидий'!Q200</f>
        <v>-10.371621621621621</v>
      </c>
      <c r="N200" s="63">
        <f t="shared" ref="N200:N211" si="76">$B200*M200/$X200</f>
        <v>-1.1612397468810547</v>
      </c>
      <c r="O200" s="62">
        <f>'Расчет субсидий'!R200-1</f>
        <v>0</v>
      </c>
      <c r="P200" s="62">
        <f>O200*'Расчет субсидий'!S200</f>
        <v>0</v>
      </c>
      <c r="Q200" s="63">
        <f t="shared" ref="Q200:Q211" si="77">$B200*P200/$X200</f>
        <v>0</v>
      </c>
      <c r="R200" s="62">
        <f>'Расчет субсидий'!V200-1</f>
        <v>8.7333333333333325</v>
      </c>
      <c r="S200" s="62">
        <f>R200*'Расчет субсидий'!W200</f>
        <v>305.66666666666663</v>
      </c>
      <c r="T200" s="63">
        <f t="shared" ref="T200:T211" si="78">$B200*S200/$X200</f>
        <v>34.223412266603525</v>
      </c>
      <c r="U200" s="62">
        <f>'Расчет субсидий'!Z200-1</f>
        <v>1.2999999999999998</v>
      </c>
      <c r="V200" s="62">
        <f>U200*'Расчет субсидий'!AA200</f>
        <v>19.499999999999996</v>
      </c>
      <c r="W200" s="63">
        <f t="shared" ref="W200:W211" si="79">$B200*V200/$X200</f>
        <v>2.1832820257320673</v>
      </c>
      <c r="X200" s="62">
        <f t="shared" si="69"/>
        <v>314.79504504504501</v>
      </c>
    </row>
    <row r="201" spans="1:24" ht="15" customHeight="1">
      <c r="A201" s="36" t="s">
        <v>199</v>
      </c>
      <c r="B201" s="60">
        <f>'Расчет субсидий'!AG201</f>
        <v>14.090909090909093</v>
      </c>
      <c r="C201" s="62">
        <f>'Расчет субсидий'!D201-1</f>
        <v>-1</v>
      </c>
      <c r="D201" s="62">
        <f>C201*'Расчет субсидий'!E201</f>
        <v>0</v>
      </c>
      <c r="E201" s="63">
        <f t="shared" si="75"/>
        <v>0</v>
      </c>
      <c r="F201" s="30" t="s">
        <v>376</v>
      </c>
      <c r="G201" s="30" t="s">
        <v>376</v>
      </c>
      <c r="H201" s="30" t="s">
        <v>376</v>
      </c>
      <c r="I201" s="30" t="s">
        <v>376</v>
      </c>
      <c r="J201" s="30" t="s">
        <v>376</v>
      </c>
      <c r="K201" s="30" t="s">
        <v>376</v>
      </c>
      <c r="L201" s="62">
        <f>'Расчет субсидий'!P201-1</f>
        <v>3.2490118577075098</v>
      </c>
      <c r="M201" s="62">
        <f>L201*'Расчет субсидий'!Q201</f>
        <v>64.980237154150188</v>
      </c>
      <c r="N201" s="63">
        <f t="shared" si="76"/>
        <v>14.090909090909093</v>
      </c>
      <c r="O201" s="62">
        <f>'Расчет субсидий'!R201-1</f>
        <v>0</v>
      </c>
      <c r="P201" s="62">
        <f>O201*'Расчет субсидий'!S201</f>
        <v>0</v>
      </c>
      <c r="Q201" s="63">
        <f t="shared" si="77"/>
        <v>0</v>
      </c>
      <c r="R201" s="62">
        <f>'Расчет субсидий'!V201-1</f>
        <v>0</v>
      </c>
      <c r="S201" s="62">
        <f>R201*'Расчет субсидий'!W201</f>
        <v>0</v>
      </c>
      <c r="T201" s="63">
        <f t="shared" si="78"/>
        <v>0</v>
      </c>
      <c r="U201" s="62">
        <f>'Расчет субсидий'!Z201-1</f>
        <v>0</v>
      </c>
      <c r="V201" s="62">
        <f>U201*'Расчет субсидий'!AA201</f>
        <v>0</v>
      </c>
      <c r="W201" s="63">
        <f t="shared" si="79"/>
        <v>0</v>
      </c>
      <c r="X201" s="62">
        <f t="shared" si="69"/>
        <v>64.980237154150188</v>
      </c>
    </row>
    <row r="202" spans="1:24" ht="15" customHeight="1">
      <c r="A202" s="36" t="s">
        <v>200</v>
      </c>
      <c r="B202" s="60">
        <f>'Расчет субсидий'!AG202</f>
        <v>5.0090909090909079</v>
      </c>
      <c r="C202" s="62">
        <f>'Расчет субсидий'!D202-1</f>
        <v>-1</v>
      </c>
      <c r="D202" s="62">
        <f>C202*'Расчет субсидий'!E202</f>
        <v>0</v>
      </c>
      <c r="E202" s="63">
        <f t="shared" si="75"/>
        <v>0</v>
      </c>
      <c r="F202" s="30" t="s">
        <v>376</v>
      </c>
      <c r="G202" s="30" t="s">
        <v>376</v>
      </c>
      <c r="H202" s="30" t="s">
        <v>376</v>
      </c>
      <c r="I202" s="30" t="s">
        <v>376</v>
      </c>
      <c r="J202" s="30" t="s">
        <v>376</v>
      </c>
      <c r="K202" s="30" t="s">
        <v>376</v>
      </c>
      <c r="L202" s="62">
        <f>'Расчет субсидий'!P202-1</f>
        <v>-0.15409934171154993</v>
      </c>
      <c r="M202" s="62">
        <f>L202*'Расчет субсидий'!Q202</f>
        <v>-3.0819868342309986</v>
      </c>
      <c r="N202" s="63">
        <f t="shared" si="76"/>
        <v>-1.6023179751248386</v>
      </c>
      <c r="O202" s="62">
        <f>'Расчет субсидий'!R202-1</f>
        <v>0</v>
      </c>
      <c r="P202" s="62">
        <f>O202*'Расчет субсидий'!S202</f>
        <v>0</v>
      </c>
      <c r="Q202" s="63">
        <f t="shared" si="77"/>
        <v>0</v>
      </c>
      <c r="R202" s="62">
        <f>'Расчет субсидий'!V202-1</f>
        <v>0.28103448275862064</v>
      </c>
      <c r="S202" s="62">
        <f>R202*'Расчет субсидий'!W202</f>
        <v>8.4310344827586192</v>
      </c>
      <c r="T202" s="63">
        <f t="shared" si="78"/>
        <v>4.3832757332307768</v>
      </c>
      <c r="U202" s="62">
        <f>'Расчет субсидий'!Z202-1</f>
        <v>0.21428571428571419</v>
      </c>
      <c r="V202" s="62">
        <f>U202*'Расчет субсидий'!AA202</f>
        <v>4.2857142857142838</v>
      </c>
      <c r="W202" s="63">
        <f t="shared" si="79"/>
        <v>2.2281331509849696</v>
      </c>
      <c r="X202" s="62">
        <f t="shared" si="69"/>
        <v>9.6347619342419044</v>
      </c>
    </row>
    <row r="203" spans="1:24" ht="15" customHeight="1">
      <c r="A203" s="36" t="s">
        <v>201</v>
      </c>
      <c r="B203" s="60">
        <f>'Расчет субсидий'!AG203</f>
        <v>-1.254545454545454</v>
      </c>
      <c r="C203" s="62">
        <f>'Расчет субсидий'!D203-1</f>
        <v>-1</v>
      </c>
      <c r="D203" s="62">
        <f>C203*'Расчет субсидий'!E203</f>
        <v>0</v>
      </c>
      <c r="E203" s="63">
        <f t="shared" si="75"/>
        <v>0</v>
      </c>
      <c r="F203" s="30" t="s">
        <v>376</v>
      </c>
      <c r="G203" s="30" t="s">
        <v>376</v>
      </c>
      <c r="H203" s="30" t="s">
        <v>376</v>
      </c>
      <c r="I203" s="30" t="s">
        <v>376</v>
      </c>
      <c r="J203" s="30" t="s">
        <v>376</v>
      </c>
      <c r="K203" s="30" t="s">
        <v>376</v>
      </c>
      <c r="L203" s="62">
        <f>'Расчет субсидий'!P203-1</f>
        <v>-0.72727272727272729</v>
      </c>
      <c r="M203" s="62">
        <f>L203*'Расчет субсидий'!Q203</f>
        <v>-14.545454545454547</v>
      </c>
      <c r="N203" s="63">
        <f t="shared" si="76"/>
        <v>-1.254545454545454</v>
      </c>
      <c r="O203" s="62">
        <f>'Расчет субсидий'!R203-1</f>
        <v>0</v>
      </c>
      <c r="P203" s="62">
        <f>O203*'Расчет субсидий'!S203</f>
        <v>0</v>
      </c>
      <c r="Q203" s="63">
        <f t="shared" si="77"/>
        <v>0</v>
      </c>
      <c r="R203" s="62">
        <f>'Расчет субсидий'!V203-1</f>
        <v>0</v>
      </c>
      <c r="S203" s="62">
        <f>R203*'Расчет субсидий'!W203</f>
        <v>0</v>
      </c>
      <c r="T203" s="63">
        <f t="shared" si="78"/>
        <v>0</v>
      </c>
      <c r="U203" s="62">
        <f>'Расчет субсидий'!Z203-1</f>
        <v>0</v>
      </c>
      <c r="V203" s="62">
        <f>U203*'Расчет субсидий'!AA203</f>
        <v>0</v>
      </c>
      <c r="W203" s="63">
        <f t="shared" si="79"/>
        <v>0</v>
      </c>
      <c r="X203" s="62">
        <f t="shared" si="69"/>
        <v>-14.545454545454547</v>
      </c>
    </row>
    <row r="204" spans="1:24" ht="15" customHeight="1">
      <c r="A204" s="36" t="s">
        <v>202</v>
      </c>
      <c r="B204" s="60">
        <f>'Расчет субсидий'!AG204</f>
        <v>23.627272727272739</v>
      </c>
      <c r="C204" s="62">
        <f>'Расчет субсидий'!D204-1</f>
        <v>-1</v>
      </c>
      <c r="D204" s="62">
        <f>C204*'Расчет субсидий'!E204</f>
        <v>0</v>
      </c>
      <c r="E204" s="63">
        <f t="shared" si="75"/>
        <v>0</v>
      </c>
      <c r="F204" s="30" t="s">
        <v>376</v>
      </c>
      <c r="G204" s="30" t="s">
        <v>376</v>
      </c>
      <c r="H204" s="30" t="s">
        <v>376</v>
      </c>
      <c r="I204" s="30" t="s">
        <v>376</v>
      </c>
      <c r="J204" s="30" t="s">
        <v>376</v>
      </c>
      <c r="K204" s="30" t="s">
        <v>376</v>
      </c>
      <c r="L204" s="62">
        <f>'Расчет субсидий'!P204-1</f>
        <v>0.82830429239268999</v>
      </c>
      <c r="M204" s="62">
        <f>L204*'Расчет субсидий'!Q204</f>
        <v>16.566085847853799</v>
      </c>
      <c r="N204" s="63">
        <f t="shared" si="76"/>
        <v>18.434323485990809</v>
      </c>
      <c r="O204" s="62">
        <f>'Расчет субсидий'!R204-1</f>
        <v>0</v>
      </c>
      <c r="P204" s="62">
        <f>O204*'Расчет субсидий'!S204</f>
        <v>0</v>
      </c>
      <c r="Q204" s="63">
        <f t="shared" si="77"/>
        <v>0</v>
      </c>
      <c r="R204" s="62">
        <f>'Расчет субсидий'!V204-1</f>
        <v>3.3333333333333437E-2</v>
      </c>
      <c r="S204" s="62">
        <f>R204*'Расчет субсидий'!W204</f>
        <v>0.16666666666666718</v>
      </c>
      <c r="T204" s="63">
        <f t="shared" si="78"/>
        <v>0.18546247290292683</v>
      </c>
      <c r="U204" s="62">
        <f>'Расчет субсидий'!Z204-1</f>
        <v>9.9999999999999867E-2</v>
      </c>
      <c r="V204" s="62">
        <f>U204*'Расчет субсидий'!AA204</f>
        <v>4.4999999999999938</v>
      </c>
      <c r="W204" s="63">
        <f t="shared" si="79"/>
        <v>5.0074867683790014</v>
      </c>
      <c r="X204" s="62">
        <f t="shared" si="69"/>
        <v>21.23275251452046</v>
      </c>
    </row>
    <row r="205" spans="1:24" ht="15" customHeight="1">
      <c r="A205" s="36" t="s">
        <v>203</v>
      </c>
      <c r="B205" s="60">
        <f>'Расчет субсидий'!AG205</f>
        <v>57.463636363636397</v>
      </c>
      <c r="C205" s="62">
        <f>'Расчет субсидий'!D205-1</f>
        <v>-0.24094488188976371</v>
      </c>
      <c r="D205" s="62">
        <f>C205*'Расчет субсидий'!E205</f>
        <v>-2.4094488188976371</v>
      </c>
      <c r="E205" s="63">
        <f t="shared" si="75"/>
        <v>-8.9435149617089937</v>
      </c>
      <c r="F205" s="30" t="s">
        <v>376</v>
      </c>
      <c r="G205" s="30" t="s">
        <v>376</v>
      </c>
      <c r="H205" s="30" t="s">
        <v>376</v>
      </c>
      <c r="I205" s="30" t="s">
        <v>376</v>
      </c>
      <c r="J205" s="30" t="s">
        <v>376</v>
      </c>
      <c r="K205" s="30" t="s">
        <v>376</v>
      </c>
      <c r="L205" s="62">
        <f>'Расчет субсидий'!P205-1</f>
        <v>0.52091767881241591</v>
      </c>
      <c r="M205" s="62">
        <f>L205*'Расчет субсидий'!Q205</f>
        <v>10.418353576248318</v>
      </c>
      <c r="N205" s="63">
        <f t="shared" si="76"/>
        <v>38.671375940735331</v>
      </c>
      <c r="O205" s="62">
        <f>'Расчет субсидий'!R205-1</f>
        <v>0</v>
      </c>
      <c r="P205" s="62">
        <f>O205*'Расчет субсидий'!S205</f>
        <v>0</v>
      </c>
      <c r="Q205" s="63">
        <f t="shared" si="77"/>
        <v>0</v>
      </c>
      <c r="R205" s="62">
        <f>'Расчет субсидий'!V205-1</f>
        <v>0.12777777777777777</v>
      </c>
      <c r="S205" s="62">
        <f>R205*'Расчет субсидий'!W205</f>
        <v>4.4722222222222214</v>
      </c>
      <c r="T205" s="63">
        <f t="shared" si="78"/>
        <v>16.600222442090036</v>
      </c>
      <c r="U205" s="62">
        <f>'Расчет субсидий'!Z205-1</f>
        <v>0.19999999999999996</v>
      </c>
      <c r="V205" s="62">
        <f>U205*'Расчет субсидий'!AA205</f>
        <v>2.9999999999999991</v>
      </c>
      <c r="W205" s="63">
        <f t="shared" si="79"/>
        <v>11.135552942520022</v>
      </c>
      <c r="X205" s="62">
        <f t="shared" si="69"/>
        <v>15.481126979572903</v>
      </c>
    </row>
    <row r="206" spans="1:24" ht="15" customHeight="1">
      <c r="A206" s="36" t="s">
        <v>204</v>
      </c>
      <c r="B206" s="60">
        <f>'Расчет субсидий'!AG206</f>
        <v>41.018181818181802</v>
      </c>
      <c r="C206" s="62">
        <f>'Расчет субсидий'!D206-1</f>
        <v>-0.25922685124722467</v>
      </c>
      <c r="D206" s="62">
        <f>C206*'Расчет субсидий'!E206</f>
        <v>-2.5922685124722467</v>
      </c>
      <c r="E206" s="63">
        <f t="shared" si="75"/>
        <v>-5.6328936900798281</v>
      </c>
      <c r="F206" s="30" t="s">
        <v>376</v>
      </c>
      <c r="G206" s="30" t="s">
        <v>376</v>
      </c>
      <c r="H206" s="30" t="s">
        <v>376</v>
      </c>
      <c r="I206" s="30" t="s">
        <v>376</v>
      </c>
      <c r="J206" s="30" t="s">
        <v>376</v>
      </c>
      <c r="K206" s="30" t="s">
        <v>376</v>
      </c>
      <c r="L206" s="62">
        <f>'Расчет субсидий'!P206-1</f>
        <v>6.8445734702992311E-2</v>
      </c>
      <c r="M206" s="62">
        <f>L206*'Расчет субсидий'!Q206</f>
        <v>1.3689146940598462</v>
      </c>
      <c r="N206" s="63">
        <f t="shared" si="76"/>
        <v>2.9745957663441787</v>
      </c>
      <c r="O206" s="62">
        <f>'Расчет субсидий'!R206-1</f>
        <v>0</v>
      </c>
      <c r="P206" s="62">
        <f>O206*'Расчет субсидий'!S206</f>
        <v>0</v>
      </c>
      <c r="Q206" s="63">
        <f t="shared" si="77"/>
        <v>0</v>
      </c>
      <c r="R206" s="62">
        <f>'Расчет субсидий'!V206-1</f>
        <v>0.58666666666666667</v>
      </c>
      <c r="S206" s="62">
        <f>R206*'Расчет субсидий'!W206</f>
        <v>17.600000000000001</v>
      </c>
      <c r="T206" s="63">
        <f t="shared" si="78"/>
        <v>38.244081764067019</v>
      </c>
      <c r="U206" s="62">
        <f>'Расчет субсидий'!Z206-1</f>
        <v>0.125</v>
      </c>
      <c r="V206" s="62">
        <f>U206*'Расчет субсидий'!AA206</f>
        <v>2.5</v>
      </c>
      <c r="W206" s="63">
        <f t="shared" si="79"/>
        <v>5.4323979778504281</v>
      </c>
      <c r="X206" s="62">
        <f t="shared" si="69"/>
        <v>18.876646181587603</v>
      </c>
    </row>
    <row r="207" spans="1:24" ht="15" customHeight="1">
      <c r="A207" s="36" t="s">
        <v>205</v>
      </c>
      <c r="B207" s="60">
        <f>'Расчет субсидий'!AG207</f>
        <v>1.1090909090909076</v>
      </c>
      <c r="C207" s="62">
        <f>'Расчет субсидий'!D207-1</f>
        <v>-1</v>
      </c>
      <c r="D207" s="62">
        <f>C207*'Расчет субсидий'!E207</f>
        <v>0</v>
      </c>
      <c r="E207" s="63">
        <f t="shared" si="75"/>
        <v>0</v>
      </c>
      <c r="F207" s="30" t="s">
        <v>376</v>
      </c>
      <c r="G207" s="30" t="s">
        <v>376</v>
      </c>
      <c r="H207" s="30" t="s">
        <v>376</v>
      </c>
      <c r="I207" s="30" t="s">
        <v>376</v>
      </c>
      <c r="J207" s="30" t="s">
        <v>376</v>
      </c>
      <c r="K207" s="30" t="s">
        <v>376</v>
      </c>
      <c r="L207" s="62">
        <f>'Расчет субсидий'!P207-1</f>
        <v>-0.29816241849436864</v>
      </c>
      <c r="M207" s="62">
        <f>L207*'Расчет субсидий'!Q207</f>
        <v>-5.9632483698873724</v>
      </c>
      <c r="N207" s="63">
        <f t="shared" si="76"/>
        <v>-0.98286911123773535</v>
      </c>
      <c r="O207" s="62">
        <f>'Расчет субсидий'!R207-1</f>
        <v>0</v>
      </c>
      <c r="P207" s="62">
        <f>O207*'Расчет субсидий'!S207</f>
        <v>0</v>
      </c>
      <c r="Q207" s="63">
        <f t="shared" si="77"/>
        <v>0</v>
      </c>
      <c r="R207" s="62">
        <f>'Расчет субсидий'!V207-1</f>
        <v>0.42307692307692313</v>
      </c>
      <c r="S207" s="62">
        <f>R207*'Расчет субсидий'!W207</f>
        <v>12.692307692307693</v>
      </c>
      <c r="T207" s="63">
        <f t="shared" si="78"/>
        <v>2.091960020328643</v>
      </c>
      <c r="U207" s="62">
        <f>'Расчет субсидий'!Z207-1</f>
        <v>0</v>
      </c>
      <c r="V207" s="62">
        <f>U207*'Расчет субсидий'!AA207</f>
        <v>0</v>
      </c>
      <c r="W207" s="63">
        <f t="shared" si="79"/>
        <v>0</v>
      </c>
      <c r="X207" s="62">
        <f t="shared" si="69"/>
        <v>6.729059322420321</v>
      </c>
    </row>
    <row r="208" spans="1:24" ht="15" customHeight="1">
      <c r="A208" s="36" t="s">
        <v>206</v>
      </c>
      <c r="B208" s="60">
        <f>'Расчет субсидий'!AG208</f>
        <v>1.4545454545454533</v>
      </c>
      <c r="C208" s="62">
        <f>'Расчет субсидий'!D208-1</f>
        <v>-1</v>
      </c>
      <c r="D208" s="62">
        <f>C208*'Расчет субсидий'!E208</f>
        <v>0</v>
      </c>
      <c r="E208" s="63">
        <f t="shared" si="75"/>
        <v>0</v>
      </c>
      <c r="F208" s="30" t="s">
        <v>376</v>
      </c>
      <c r="G208" s="30" t="s">
        <v>376</v>
      </c>
      <c r="H208" s="30" t="s">
        <v>376</v>
      </c>
      <c r="I208" s="30" t="s">
        <v>376</v>
      </c>
      <c r="J208" s="30" t="s">
        <v>376</v>
      </c>
      <c r="K208" s="30" t="s">
        <v>376</v>
      </c>
      <c r="L208" s="62">
        <f>'Расчет субсидий'!P208-1</f>
        <v>-0.35136741973840668</v>
      </c>
      <c r="M208" s="62">
        <f>L208*'Расчет субсидий'!Q208</f>
        <v>-7.0273483947681337</v>
      </c>
      <c r="N208" s="63">
        <f t="shared" si="76"/>
        <v>-2.5729912111235045</v>
      </c>
      <c r="O208" s="62">
        <f>'Расчет субсидий'!R208-1</f>
        <v>0</v>
      </c>
      <c r="P208" s="62">
        <f>O208*'Расчет субсидий'!S208</f>
        <v>0</v>
      </c>
      <c r="Q208" s="63">
        <f t="shared" si="77"/>
        <v>0</v>
      </c>
      <c r="R208" s="62">
        <f>'Расчет субсидий'!V208-1</f>
        <v>0.7</v>
      </c>
      <c r="S208" s="62">
        <f>R208*'Расчет субсидий'!W208</f>
        <v>21</v>
      </c>
      <c r="T208" s="63">
        <f t="shared" si="78"/>
        <v>7.6889336344589188</v>
      </c>
      <c r="U208" s="62">
        <f>'Расчет субсидий'!Z208-1</f>
        <v>-0.5</v>
      </c>
      <c r="V208" s="62">
        <f>U208*'Расчет субсидий'!AA208</f>
        <v>-10</v>
      </c>
      <c r="W208" s="63">
        <f t="shared" si="79"/>
        <v>-3.6613969687899615</v>
      </c>
      <c r="X208" s="62">
        <f t="shared" si="69"/>
        <v>3.9726516052318672</v>
      </c>
    </row>
    <row r="209" spans="1:24" ht="15" customHeight="1">
      <c r="A209" s="36" t="s">
        <v>207</v>
      </c>
      <c r="B209" s="60">
        <f>'Расчет субсидий'!AG209</f>
        <v>-85.990909090909099</v>
      </c>
      <c r="C209" s="62">
        <f>'Расчет субсидий'!D209-1</f>
        <v>-1</v>
      </c>
      <c r="D209" s="62">
        <f>C209*'Расчет субсидий'!E209</f>
        <v>-10</v>
      </c>
      <c r="E209" s="63">
        <f t="shared" si="75"/>
        <v>-26.012752473674897</v>
      </c>
      <c r="F209" s="30" t="s">
        <v>376</v>
      </c>
      <c r="G209" s="30" t="s">
        <v>376</v>
      </c>
      <c r="H209" s="30" t="s">
        <v>376</v>
      </c>
      <c r="I209" s="30" t="s">
        <v>376</v>
      </c>
      <c r="J209" s="30" t="s">
        <v>376</v>
      </c>
      <c r="K209" s="30" t="s">
        <v>376</v>
      </c>
      <c r="L209" s="62">
        <f>'Расчет субсидий'!P209-1</f>
        <v>-0.447557603686636</v>
      </c>
      <c r="M209" s="62">
        <f>L209*'Расчет субсидий'!Q209</f>
        <v>-8.9511520737327199</v>
      </c>
      <c r="N209" s="63">
        <f t="shared" si="76"/>
        <v>-23.284410324823103</v>
      </c>
      <c r="O209" s="62">
        <f>'Расчет субсидий'!R209-1</f>
        <v>0</v>
      </c>
      <c r="P209" s="62">
        <f>O209*'Расчет субсидий'!S209</f>
        <v>0</v>
      </c>
      <c r="Q209" s="63">
        <f t="shared" si="77"/>
        <v>0</v>
      </c>
      <c r="R209" s="62">
        <f>'Расчет субсидий'!V209-1</f>
        <v>-4.3030303030302974E-2</v>
      </c>
      <c r="S209" s="62">
        <f>R209*'Расчет субсидий'!W209</f>
        <v>-1.5060606060606041</v>
      </c>
      <c r="T209" s="63">
        <f t="shared" si="78"/>
        <v>-3.9176781755807295</v>
      </c>
      <c r="U209" s="62">
        <f>'Расчет субсидий'!Z209-1</f>
        <v>-0.84</v>
      </c>
      <c r="V209" s="62">
        <f>U209*'Расчет субсидий'!AA209</f>
        <v>-12.6</v>
      </c>
      <c r="W209" s="63">
        <f t="shared" si="79"/>
        <v>-32.776068116830366</v>
      </c>
      <c r="X209" s="62">
        <f t="shared" si="69"/>
        <v>-33.057212679793324</v>
      </c>
    </row>
    <row r="210" spans="1:24" ht="15" customHeight="1">
      <c r="A210" s="36" t="s">
        <v>208</v>
      </c>
      <c r="B210" s="60">
        <f>'Расчет субсидий'!AG210</f>
        <v>15.881818181818183</v>
      </c>
      <c r="C210" s="62">
        <f>'Расчет субсидий'!D210-1</f>
        <v>-1</v>
      </c>
      <c r="D210" s="62">
        <f>C210*'Расчет субсидий'!E210</f>
        <v>0</v>
      </c>
      <c r="E210" s="63">
        <f t="shared" si="75"/>
        <v>0</v>
      </c>
      <c r="F210" s="30" t="s">
        <v>376</v>
      </c>
      <c r="G210" s="30" t="s">
        <v>376</v>
      </c>
      <c r="H210" s="30" t="s">
        <v>376</v>
      </c>
      <c r="I210" s="30" t="s">
        <v>376</v>
      </c>
      <c r="J210" s="30" t="s">
        <v>376</v>
      </c>
      <c r="K210" s="30" t="s">
        <v>376</v>
      </c>
      <c r="L210" s="62">
        <f>'Расчет субсидий'!P210-1</f>
        <v>-7.1138211382113847E-2</v>
      </c>
      <c r="M210" s="62">
        <f>L210*'Расчет субсидий'!Q210</f>
        <v>-1.4227642276422769</v>
      </c>
      <c r="N210" s="63">
        <f t="shared" si="76"/>
        <v>-0.3294983025273483</v>
      </c>
      <c r="O210" s="62">
        <f>'Расчет субсидий'!R210-1</f>
        <v>0</v>
      </c>
      <c r="P210" s="62">
        <f>O210*'Расчет субсидий'!S210</f>
        <v>0</v>
      </c>
      <c r="Q210" s="63">
        <f t="shared" si="77"/>
        <v>0</v>
      </c>
      <c r="R210" s="62">
        <f>'Расчет субсидий'!V210-1</f>
        <v>2</v>
      </c>
      <c r="S210" s="62">
        <f>R210*'Расчет субсидий'!W210</f>
        <v>70</v>
      </c>
      <c r="T210" s="63">
        <f t="shared" si="78"/>
        <v>16.211316484345531</v>
      </c>
      <c r="U210" s="62">
        <f>'Расчет субсидий'!Z210-1</f>
        <v>0</v>
      </c>
      <c r="V210" s="62">
        <f>U210*'Расчет субсидий'!AA210</f>
        <v>0</v>
      </c>
      <c r="W210" s="63">
        <f t="shared" si="79"/>
        <v>0</v>
      </c>
      <c r="X210" s="62">
        <f t="shared" si="69"/>
        <v>68.577235772357724</v>
      </c>
    </row>
    <row r="211" spans="1:24" ht="15" customHeight="1">
      <c r="A211" s="36" t="s">
        <v>209</v>
      </c>
      <c r="B211" s="60">
        <f>'Расчет субсидий'!AG211</f>
        <v>2.1181818181818173</v>
      </c>
      <c r="C211" s="62">
        <f>'Расчет субсидий'!D211-1</f>
        <v>-1</v>
      </c>
      <c r="D211" s="62">
        <f>C211*'Расчет субсидий'!E211</f>
        <v>0</v>
      </c>
      <c r="E211" s="63">
        <f t="shared" si="75"/>
        <v>0</v>
      </c>
      <c r="F211" s="30" t="s">
        <v>376</v>
      </c>
      <c r="G211" s="30" t="s">
        <v>376</v>
      </c>
      <c r="H211" s="30" t="s">
        <v>376</v>
      </c>
      <c r="I211" s="30" t="s">
        <v>376</v>
      </c>
      <c r="J211" s="30" t="s">
        <v>376</v>
      </c>
      <c r="K211" s="30" t="s">
        <v>376</v>
      </c>
      <c r="L211" s="62">
        <f>'Расчет субсидий'!P211-1</f>
        <v>0.17051509769094153</v>
      </c>
      <c r="M211" s="62">
        <f>L211*'Расчет субсидий'!Q211</f>
        <v>3.4103019538188306</v>
      </c>
      <c r="N211" s="63">
        <f t="shared" si="76"/>
        <v>2.1181818181818173</v>
      </c>
      <c r="O211" s="62">
        <f>'Расчет субсидий'!R211-1</f>
        <v>0</v>
      </c>
      <c r="P211" s="62">
        <f>O211*'Расчет субсидий'!S211</f>
        <v>0</v>
      </c>
      <c r="Q211" s="63">
        <f t="shared" si="77"/>
        <v>0</v>
      </c>
      <c r="R211" s="62">
        <f>'Расчет субсидий'!V211-1</f>
        <v>0</v>
      </c>
      <c r="S211" s="62">
        <f>R211*'Расчет субсидий'!W211</f>
        <v>0</v>
      </c>
      <c r="T211" s="63">
        <f t="shared" si="78"/>
        <v>0</v>
      </c>
      <c r="U211" s="62">
        <f>'Расчет субсидий'!Z211-1</f>
        <v>0</v>
      </c>
      <c r="V211" s="62">
        <f>U211*'Расчет субсидий'!AA211</f>
        <v>0</v>
      </c>
      <c r="W211" s="63">
        <f t="shared" si="79"/>
        <v>0</v>
      </c>
      <c r="X211" s="62">
        <f t="shared" si="69"/>
        <v>3.4103019538188306</v>
      </c>
    </row>
    <row r="212" spans="1:24" ht="15" customHeight="1">
      <c r="A212" s="35" t="s">
        <v>210</v>
      </c>
      <c r="B212" s="64"/>
      <c r="C212" s="65"/>
      <c r="D212" s="65"/>
      <c r="E212" s="66"/>
      <c r="F212" s="65"/>
      <c r="G212" s="65"/>
      <c r="H212" s="66"/>
      <c r="I212" s="66"/>
      <c r="J212" s="66"/>
      <c r="K212" s="66"/>
      <c r="L212" s="65"/>
      <c r="M212" s="65"/>
      <c r="N212" s="66"/>
      <c r="O212" s="65"/>
      <c r="P212" s="65"/>
      <c r="Q212" s="66"/>
      <c r="R212" s="65"/>
      <c r="S212" s="65"/>
      <c r="T212" s="66"/>
      <c r="U212" s="65"/>
      <c r="V212" s="65"/>
      <c r="W212" s="66"/>
      <c r="X212" s="66"/>
    </row>
    <row r="213" spans="1:24" ht="15" customHeight="1">
      <c r="A213" s="36" t="s">
        <v>211</v>
      </c>
      <c r="B213" s="60">
        <f>'Расчет субсидий'!AG213</f>
        <v>21.336363636363643</v>
      </c>
      <c r="C213" s="62">
        <f>'Расчет субсидий'!D213-1</f>
        <v>-1</v>
      </c>
      <c r="D213" s="62">
        <f>C213*'Расчет субсидий'!E213</f>
        <v>0</v>
      </c>
      <c r="E213" s="63">
        <f t="shared" ref="E213:E225" si="80">$B213*D213/$X213</f>
        <v>0</v>
      </c>
      <c r="F213" s="30" t="s">
        <v>376</v>
      </c>
      <c r="G213" s="30" t="s">
        <v>376</v>
      </c>
      <c r="H213" s="30" t="s">
        <v>376</v>
      </c>
      <c r="I213" s="30" t="s">
        <v>376</v>
      </c>
      <c r="J213" s="30" t="s">
        <v>376</v>
      </c>
      <c r="K213" s="30" t="s">
        <v>376</v>
      </c>
      <c r="L213" s="62">
        <f>'Расчет субсидий'!P213-1</f>
        <v>-0.54447215295095597</v>
      </c>
      <c r="M213" s="62">
        <f>L213*'Расчет субсидий'!Q213</f>
        <v>-10.889443059019118</v>
      </c>
      <c r="N213" s="63">
        <f t="shared" ref="N213:N225" si="81">$B213*M213/$X213</f>
        <v>-2.6421748492551984</v>
      </c>
      <c r="O213" s="62">
        <f>'Расчет субсидий'!R213-1</f>
        <v>0</v>
      </c>
      <c r="P213" s="62">
        <f>O213*'Расчет субсидий'!S213</f>
        <v>0</v>
      </c>
      <c r="Q213" s="63">
        <f t="shared" ref="Q213:Q225" si="82">$B213*P213/$X213</f>
        <v>0</v>
      </c>
      <c r="R213" s="62">
        <f>'Расчет субсидий'!V213-1</f>
        <v>-0.64500000000000002</v>
      </c>
      <c r="S213" s="62">
        <f>R213*'Расчет субсидий'!W213</f>
        <v>-9.6750000000000007</v>
      </c>
      <c r="T213" s="63">
        <f t="shared" ref="T213:T225" si="83">$B213*S213/$X213</f>
        <v>-2.3475068034238542</v>
      </c>
      <c r="U213" s="62">
        <f>'Расчет субсидий'!Z213-1</f>
        <v>3.0999999999999996</v>
      </c>
      <c r="V213" s="62">
        <f>U213*'Расчет субсидий'!AA213</f>
        <v>108.49999999999999</v>
      </c>
      <c r="W213" s="63">
        <f t="shared" ref="W213:W225" si="84">$B213*V213/$X213</f>
        <v>26.326045289042696</v>
      </c>
      <c r="X213" s="62">
        <f t="shared" si="69"/>
        <v>87.93555694098086</v>
      </c>
    </row>
    <row r="214" spans="1:24" ht="15" customHeight="1">
      <c r="A214" s="36" t="s">
        <v>212</v>
      </c>
      <c r="B214" s="60">
        <f>'Расчет субсидий'!AG214</f>
        <v>29.23636363636362</v>
      </c>
      <c r="C214" s="62">
        <f>'Расчет субсидий'!D214-1</f>
        <v>-1</v>
      </c>
      <c r="D214" s="62">
        <f>C214*'Расчет субсидий'!E214</f>
        <v>0</v>
      </c>
      <c r="E214" s="63">
        <f t="shared" si="80"/>
        <v>0</v>
      </c>
      <c r="F214" s="30" t="s">
        <v>376</v>
      </c>
      <c r="G214" s="30" t="s">
        <v>376</v>
      </c>
      <c r="H214" s="30" t="s">
        <v>376</v>
      </c>
      <c r="I214" s="30" t="s">
        <v>376</v>
      </c>
      <c r="J214" s="30" t="s">
        <v>376</v>
      </c>
      <c r="K214" s="30" t="s">
        <v>376</v>
      </c>
      <c r="L214" s="62">
        <f>'Расчет субсидий'!P214-1</f>
        <v>0.57978385251112519</v>
      </c>
      <c r="M214" s="62">
        <f>L214*'Расчет субсидий'!Q214</f>
        <v>11.595677050222504</v>
      </c>
      <c r="N214" s="63">
        <f t="shared" si="81"/>
        <v>25.402640088948448</v>
      </c>
      <c r="O214" s="62">
        <f>'Расчет субсидий'!R214-1</f>
        <v>0</v>
      </c>
      <c r="P214" s="62">
        <f>O214*'Расчет субсидий'!S214</f>
        <v>0</v>
      </c>
      <c r="Q214" s="63">
        <f t="shared" si="82"/>
        <v>0</v>
      </c>
      <c r="R214" s="62">
        <f>'Расчет субсидий'!V214-1</f>
        <v>8.7499999999999911E-2</v>
      </c>
      <c r="S214" s="62">
        <f>R214*'Расчет субсидий'!W214</f>
        <v>1.7499999999999982</v>
      </c>
      <c r="T214" s="63">
        <f t="shared" si="83"/>
        <v>3.8337235474151741</v>
      </c>
      <c r="U214" s="62">
        <f>'Расчет субсидий'!Z214-1</f>
        <v>0</v>
      </c>
      <c r="V214" s="62">
        <f>U214*'Расчет субсидий'!AA214</f>
        <v>0</v>
      </c>
      <c r="W214" s="63">
        <f t="shared" si="84"/>
        <v>0</v>
      </c>
      <c r="X214" s="62">
        <f t="shared" si="69"/>
        <v>13.345677050222502</v>
      </c>
    </row>
    <row r="215" spans="1:24" ht="15" customHeight="1">
      <c r="A215" s="36" t="s">
        <v>213</v>
      </c>
      <c r="B215" s="60">
        <f>'Расчет субсидий'!AG215</f>
        <v>9.0272727272727309</v>
      </c>
      <c r="C215" s="62">
        <f>'Расчет субсидий'!D215-1</f>
        <v>-0.42120063836385224</v>
      </c>
      <c r="D215" s="62">
        <f>C215*'Расчет субсидий'!E215</f>
        <v>-4.2120063836385224</v>
      </c>
      <c r="E215" s="63">
        <f t="shared" si="80"/>
        <v>-5.0402955737380895</v>
      </c>
      <c r="F215" s="30" t="s">
        <v>376</v>
      </c>
      <c r="G215" s="30" t="s">
        <v>376</v>
      </c>
      <c r="H215" s="30" t="s">
        <v>376</v>
      </c>
      <c r="I215" s="30" t="s">
        <v>376</v>
      </c>
      <c r="J215" s="30" t="s">
        <v>376</v>
      </c>
      <c r="K215" s="30" t="s">
        <v>376</v>
      </c>
      <c r="L215" s="62">
        <f>'Расчет субсидий'!P215-1</f>
        <v>0.58778980934033087</v>
      </c>
      <c r="M215" s="62">
        <f>L215*'Расчет субсидий'!Q215</f>
        <v>11.755796186806617</v>
      </c>
      <c r="N215" s="63">
        <f t="shared" si="81"/>
        <v>14.067568301010821</v>
      </c>
      <c r="O215" s="62">
        <f>'Расчет субсидий'!R215-1</f>
        <v>0</v>
      </c>
      <c r="P215" s="62">
        <f>O215*'Расчет субсидий'!S215</f>
        <v>0</v>
      </c>
      <c r="Q215" s="63">
        <f t="shared" si="82"/>
        <v>0</v>
      </c>
      <c r="R215" s="62">
        <f>'Расчет субсидий'!V215-1</f>
        <v>0</v>
      </c>
      <c r="S215" s="62">
        <f>R215*'Расчет субсидий'!W215</f>
        <v>0</v>
      </c>
      <c r="T215" s="63">
        <f t="shared" si="83"/>
        <v>0</v>
      </c>
      <c r="U215" s="62">
        <f>'Расчет субсидий'!Z215-1</f>
        <v>0</v>
      </c>
      <c r="V215" s="62">
        <f>U215*'Расчет субсидий'!AA215</f>
        <v>0</v>
      </c>
      <c r="W215" s="63">
        <f t="shared" si="84"/>
        <v>0</v>
      </c>
      <c r="X215" s="62">
        <f t="shared" si="69"/>
        <v>7.5437898031680941</v>
      </c>
    </row>
    <row r="216" spans="1:24" ht="15" customHeight="1">
      <c r="A216" s="36" t="s">
        <v>214</v>
      </c>
      <c r="B216" s="60">
        <f>'Расчет субсидий'!AG216</f>
        <v>19.199999999999989</v>
      </c>
      <c r="C216" s="62">
        <f>'Расчет субсидий'!D216-1</f>
        <v>-1</v>
      </c>
      <c r="D216" s="62">
        <f>C216*'Расчет субсидий'!E216</f>
        <v>0</v>
      </c>
      <c r="E216" s="63">
        <f t="shared" si="80"/>
        <v>0</v>
      </c>
      <c r="F216" s="30" t="s">
        <v>376</v>
      </c>
      <c r="G216" s="30" t="s">
        <v>376</v>
      </c>
      <c r="H216" s="30" t="s">
        <v>376</v>
      </c>
      <c r="I216" s="30" t="s">
        <v>376</v>
      </c>
      <c r="J216" s="30" t="s">
        <v>376</v>
      </c>
      <c r="K216" s="30" t="s">
        <v>376</v>
      </c>
      <c r="L216" s="62">
        <f>'Расчет субсидий'!P216-1</f>
        <v>0.44841269841269837</v>
      </c>
      <c r="M216" s="62">
        <f>L216*'Расчет субсидий'!Q216</f>
        <v>8.9682539682539684</v>
      </c>
      <c r="N216" s="63">
        <f t="shared" si="81"/>
        <v>13.538845553822146</v>
      </c>
      <c r="O216" s="62">
        <f>'Расчет субсидий'!R216-1</f>
        <v>0</v>
      </c>
      <c r="P216" s="62">
        <f>O216*'Расчет субсидий'!S216</f>
        <v>0</v>
      </c>
      <c r="Q216" s="63">
        <f t="shared" si="82"/>
        <v>0</v>
      </c>
      <c r="R216" s="62">
        <f>'Расчет субсидий'!V216-1</f>
        <v>0.125</v>
      </c>
      <c r="S216" s="62">
        <f>R216*'Расчет субсидий'!W216</f>
        <v>3.75</v>
      </c>
      <c r="T216" s="63">
        <f t="shared" si="83"/>
        <v>5.6611544461778438</v>
      </c>
      <c r="U216" s="62">
        <f>'Расчет субсидий'!Z216-1</f>
        <v>0</v>
      </c>
      <c r="V216" s="62">
        <f>U216*'Расчет субсидий'!AA216</f>
        <v>0</v>
      </c>
      <c r="W216" s="63">
        <f t="shared" si="84"/>
        <v>0</v>
      </c>
      <c r="X216" s="62">
        <f t="shared" si="69"/>
        <v>12.718253968253968</v>
      </c>
    </row>
    <row r="217" spans="1:24" ht="15" customHeight="1">
      <c r="A217" s="36" t="s">
        <v>215</v>
      </c>
      <c r="B217" s="60">
        <f>'Расчет субсидий'!AG217</f>
        <v>22.154545454545456</v>
      </c>
      <c r="C217" s="62">
        <f>'Расчет субсидий'!D217-1</f>
        <v>-0.34139800464328296</v>
      </c>
      <c r="D217" s="62">
        <f>C217*'Расчет субсидий'!E217</f>
        <v>-3.4139800464328296</v>
      </c>
      <c r="E217" s="63">
        <f t="shared" si="80"/>
        <v>-7.1318122601970586</v>
      </c>
      <c r="F217" s="30" t="s">
        <v>376</v>
      </c>
      <c r="G217" s="30" t="s">
        <v>376</v>
      </c>
      <c r="H217" s="30" t="s">
        <v>376</v>
      </c>
      <c r="I217" s="30" t="s">
        <v>376</v>
      </c>
      <c r="J217" s="30" t="s">
        <v>376</v>
      </c>
      <c r="K217" s="30" t="s">
        <v>376</v>
      </c>
      <c r="L217" s="62">
        <f>'Расчет субсидий'!P217-1</f>
        <v>-2.1276202276488965E-2</v>
      </c>
      <c r="M217" s="62">
        <f>L217*'Расчет субсидий'!Q217</f>
        <v>-0.42552404552977929</v>
      </c>
      <c r="N217" s="63">
        <f t="shared" si="81"/>
        <v>-0.88892072116498244</v>
      </c>
      <c r="O217" s="62">
        <f>'Расчет субсидий'!R217-1</f>
        <v>0</v>
      </c>
      <c r="P217" s="62">
        <f>O217*'Расчет субсидий'!S217</f>
        <v>0</v>
      </c>
      <c r="Q217" s="63">
        <f t="shared" si="82"/>
        <v>0</v>
      </c>
      <c r="R217" s="62">
        <f>'Расчет субсидий'!V217-1</f>
        <v>0.35862068965517246</v>
      </c>
      <c r="S217" s="62">
        <f>R217*'Расчет субсидий'!W217</f>
        <v>14.344827586206899</v>
      </c>
      <c r="T217" s="63">
        <f t="shared" si="83"/>
        <v>29.966378203240676</v>
      </c>
      <c r="U217" s="62">
        <f>'Расчет субсидий'!Z217-1</f>
        <v>1.0000000000000009E-2</v>
      </c>
      <c r="V217" s="62">
        <f>U217*'Расчет субсидий'!AA217</f>
        <v>0.10000000000000009</v>
      </c>
      <c r="W217" s="63">
        <f t="shared" si="84"/>
        <v>0.20890023266682214</v>
      </c>
      <c r="X217" s="62">
        <f t="shared" si="69"/>
        <v>10.60532349424429</v>
      </c>
    </row>
    <row r="218" spans="1:24" ht="15" customHeight="1">
      <c r="A218" s="36" t="s">
        <v>216</v>
      </c>
      <c r="B218" s="60">
        <f>'Расчет субсидий'!AG218</f>
        <v>53.427272727272737</v>
      </c>
      <c r="C218" s="62">
        <f>'Расчет субсидий'!D218-1</f>
        <v>-1.0305851063829752E-2</v>
      </c>
      <c r="D218" s="62">
        <f>C218*'Расчет субсидий'!E218</f>
        <v>-0.10305851063829752</v>
      </c>
      <c r="E218" s="63">
        <f t="shared" si="80"/>
        <v>-0.34065871713901263</v>
      </c>
      <c r="F218" s="30" t="s">
        <v>376</v>
      </c>
      <c r="G218" s="30" t="s">
        <v>376</v>
      </c>
      <c r="H218" s="30" t="s">
        <v>376</v>
      </c>
      <c r="I218" s="30" t="s">
        <v>376</v>
      </c>
      <c r="J218" s="30" t="s">
        <v>376</v>
      </c>
      <c r="K218" s="30" t="s">
        <v>376</v>
      </c>
      <c r="L218" s="62">
        <f>'Расчет субсидий'!P218-1</f>
        <v>0.4633129516397998</v>
      </c>
      <c r="M218" s="62">
        <f>L218*'Расчет субсидий'!Q218</f>
        <v>9.2662590327959968</v>
      </c>
      <c r="N218" s="63">
        <f t="shared" si="81"/>
        <v>30.629512257059901</v>
      </c>
      <c r="O218" s="62">
        <f>'Расчет субсидий'!R218-1</f>
        <v>0</v>
      </c>
      <c r="P218" s="62">
        <f>O218*'Расчет субсидий'!S218</f>
        <v>0</v>
      </c>
      <c r="Q218" s="63">
        <f t="shared" si="82"/>
        <v>0</v>
      </c>
      <c r="R218" s="62">
        <f>'Расчет субсидий'!V218-1</f>
        <v>0</v>
      </c>
      <c r="S218" s="62">
        <f>R218*'Расчет субсидий'!W218</f>
        <v>0</v>
      </c>
      <c r="T218" s="63">
        <f t="shared" si="83"/>
        <v>0</v>
      </c>
      <c r="U218" s="62">
        <f>'Расчет субсидий'!Z218-1</f>
        <v>0.19999999999999996</v>
      </c>
      <c r="V218" s="62">
        <f>U218*'Расчет субсидий'!AA218</f>
        <v>6.9999999999999982</v>
      </c>
      <c r="W218" s="63">
        <f t="shared" si="84"/>
        <v>23.138419187351843</v>
      </c>
      <c r="X218" s="62">
        <f t="shared" si="69"/>
        <v>16.163200522157698</v>
      </c>
    </row>
    <row r="219" spans="1:24" ht="15" customHeight="1">
      <c r="A219" s="36" t="s">
        <v>217</v>
      </c>
      <c r="B219" s="60">
        <f>'Расчет субсидий'!AG219</f>
        <v>16.74545454545455</v>
      </c>
      <c r="C219" s="62">
        <f>'Расчет субсидий'!D219-1</f>
        <v>0.15872486059676061</v>
      </c>
      <c r="D219" s="62">
        <f>C219*'Расчет субсидий'!E219</f>
        <v>1.5872486059676061</v>
      </c>
      <c r="E219" s="63">
        <f t="shared" si="80"/>
        <v>1.0843660339866983</v>
      </c>
      <c r="F219" s="30" t="s">
        <v>376</v>
      </c>
      <c r="G219" s="30" t="s">
        <v>376</v>
      </c>
      <c r="H219" s="30" t="s">
        <v>376</v>
      </c>
      <c r="I219" s="30" t="s">
        <v>376</v>
      </c>
      <c r="J219" s="30" t="s">
        <v>376</v>
      </c>
      <c r="K219" s="30" t="s">
        <v>376</v>
      </c>
      <c r="L219" s="62">
        <f>'Расчет субсидий'!P219-1</f>
        <v>9.6201565184195426E-2</v>
      </c>
      <c r="M219" s="62">
        <f>L219*'Расчет субсидий'!Q219</f>
        <v>1.9240313036839085</v>
      </c>
      <c r="N219" s="63">
        <f t="shared" si="81"/>
        <v>1.3144470161749549</v>
      </c>
      <c r="O219" s="62">
        <f>'Расчет субсидий'!R219-1</f>
        <v>0</v>
      </c>
      <c r="P219" s="62">
        <f>O219*'Расчет субсидий'!S219</f>
        <v>0</v>
      </c>
      <c r="Q219" s="63">
        <f t="shared" si="82"/>
        <v>0</v>
      </c>
      <c r="R219" s="62">
        <f>'Расчет субсидий'!V219-1</f>
        <v>0.55000000000000004</v>
      </c>
      <c r="S219" s="62">
        <f>R219*'Расчет субсидий'!W219</f>
        <v>16.5</v>
      </c>
      <c r="T219" s="63">
        <f t="shared" si="83"/>
        <v>11.272361174872991</v>
      </c>
      <c r="U219" s="62">
        <f>'Расчет субсидий'!Z219-1</f>
        <v>0.22500000000000009</v>
      </c>
      <c r="V219" s="62">
        <f>U219*'Расчет субсидий'!AA219</f>
        <v>4.5000000000000018</v>
      </c>
      <c r="W219" s="63">
        <f t="shared" si="84"/>
        <v>3.0742803204199078</v>
      </c>
      <c r="X219" s="62">
        <f t="shared" si="69"/>
        <v>24.511279909651513</v>
      </c>
    </row>
    <row r="220" spans="1:24" ht="15" customHeight="1">
      <c r="A220" s="36" t="s">
        <v>218</v>
      </c>
      <c r="B220" s="60">
        <f>'Расчет субсидий'!AG220</f>
        <v>82.581818181818164</v>
      </c>
      <c r="C220" s="62">
        <f>'Расчет субсидий'!D220-1</f>
        <v>-0.60040521825362902</v>
      </c>
      <c r="D220" s="62">
        <f>C220*'Расчет субсидий'!E220</f>
        <v>-6.0040521825362898</v>
      </c>
      <c r="E220" s="63">
        <f t="shared" si="80"/>
        <v>-5.5669967215999225</v>
      </c>
      <c r="F220" s="30" t="s">
        <v>376</v>
      </c>
      <c r="G220" s="30" t="s">
        <v>376</v>
      </c>
      <c r="H220" s="30" t="s">
        <v>376</v>
      </c>
      <c r="I220" s="30" t="s">
        <v>376</v>
      </c>
      <c r="J220" s="30" t="s">
        <v>376</v>
      </c>
      <c r="K220" s="30" t="s">
        <v>376</v>
      </c>
      <c r="L220" s="62">
        <f>'Расчет субсидий'!P220-1</f>
        <v>0.72346143509809169</v>
      </c>
      <c r="M220" s="62">
        <f>L220*'Расчет субсидий'!Q220</f>
        <v>14.469228701961834</v>
      </c>
      <c r="N220" s="63">
        <f t="shared" si="81"/>
        <v>13.415964135387352</v>
      </c>
      <c r="O220" s="62">
        <f>'Расчет субсидий'!R220-1</f>
        <v>0</v>
      </c>
      <c r="P220" s="62">
        <f>O220*'Расчет субсидий'!S220</f>
        <v>0</v>
      </c>
      <c r="Q220" s="63">
        <f t="shared" si="82"/>
        <v>0</v>
      </c>
      <c r="R220" s="62">
        <f>'Расчет субсидий'!V220-1</f>
        <v>-0.38</v>
      </c>
      <c r="S220" s="62">
        <f>R220*'Расчет субсидий'!W220</f>
        <v>-11.4</v>
      </c>
      <c r="T220" s="63">
        <f t="shared" si="83"/>
        <v>-10.570155071408813</v>
      </c>
      <c r="U220" s="62">
        <f>'Расчет субсидий'!Z220-1</f>
        <v>4.5999999999999996</v>
      </c>
      <c r="V220" s="62">
        <f>U220*'Расчет субсидий'!AA220</f>
        <v>92</v>
      </c>
      <c r="W220" s="63">
        <f t="shared" si="84"/>
        <v>85.30300583943955</v>
      </c>
      <c r="X220" s="62">
        <f t="shared" si="69"/>
        <v>89.065176519425549</v>
      </c>
    </row>
    <row r="221" spans="1:24" ht="15" customHeight="1">
      <c r="A221" s="36" t="s">
        <v>219</v>
      </c>
      <c r="B221" s="60">
        <f>'Расчет субсидий'!AG221</f>
        <v>4.9363636363636374</v>
      </c>
      <c r="C221" s="62">
        <f>'Расчет субсидий'!D221-1</f>
        <v>-0.28412222542519461</v>
      </c>
      <c r="D221" s="62">
        <f>C221*'Расчет субсидий'!E221</f>
        <v>-2.8412222542519459</v>
      </c>
      <c r="E221" s="63">
        <f t="shared" si="80"/>
        <v>-0.17121191384777656</v>
      </c>
      <c r="F221" s="30" t="s">
        <v>376</v>
      </c>
      <c r="G221" s="30" t="s">
        <v>376</v>
      </c>
      <c r="H221" s="30" t="s">
        <v>376</v>
      </c>
      <c r="I221" s="30" t="s">
        <v>376</v>
      </c>
      <c r="J221" s="30" t="s">
        <v>376</v>
      </c>
      <c r="K221" s="30" t="s">
        <v>376</v>
      </c>
      <c r="L221" s="62">
        <f>'Расчет субсидий'!P221-1</f>
        <v>-0.46571470631532463</v>
      </c>
      <c r="M221" s="62">
        <f>L221*'Расчет субсидий'!Q221</f>
        <v>-9.3142941263064927</v>
      </c>
      <c r="N221" s="63">
        <f t="shared" si="81"/>
        <v>-0.5612789077375101</v>
      </c>
      <c r="O221" s="62">
        <f>'Расчет субсидий'!R221-1</f>
        <v>0</v>
      </c>
      <c r="P221" s="62">
        <f>O221*'Расчет субсидий'!S221</f>
        <v>0</v>
      </c>
      <c r="Q221" s="63">
        <f t="shared" si="82"/>
        <v>0</v>
      </c>
      <c r="R221" s="62">
        <f>'Расчет субсидий'!V221-1</f>
        <v>8.33</v>
      </c>
      <c r="S221" s="62">
        <f>R221*'Расчет субсидий'!W221</f>
        <v>83.3</v>
      </c>
      <c r="T221" s="63">
        <f t="shared" si="83"/>
        <v>5.0196539190753171</v>
      </c>
      <c r="U221" s="62">
        <f>'Расчет субсидий'!Z221-1</f>
        <v>0.26933333333333342</v>
      </c>
      <c r="V221" s="62">
        <f>U221*'Расчет субсидий'!AA221</f>
        <v>10.773333333333337</v>
      </c>
      <c r="W221" s="63">
        <f t="shared" si="84"/>
        <v>0.64920053887360674</v>
      </c>
      <c r="X221" s="62">
        <f t="shared" si="69"/>
        <v>81.917816952774899</v>
      </c>
    </row>
    <row r="222" spans="1:24" ht="15" customHeight="1">
      <c r="A222" s="36" t="s">
        <v>220</v>
      </c>
      <c r="B222" s="60">
        <f>'Расчет субсидий'!AG222</f>
        <v>11.709090909090904</v>
      </c>
      <c r="C222" s="62">
        <f>'Расчет субсидий'!D222-1</f>
        <v>-1</v>
      </c>
      <c r="D222" s="62">
        <f>C222*'Расчет субсидий'!E222</f>
        <v>0</v>
      </c>
      <c r="E222" s="63">
        <f t="shared" si="80"/>
        <v>0</v>
      </c>
      <c r="F222" s="30" t="s">
        <v>376</v>
      </c>
      <c r="G222" s="30" t="s">
        <v>376</v>
      </c>
      <c r="H222" s="30" t="s">
        <v>376</v>
      </c>
      <c r="I222" s="30" t="s">
        <v>376</v>
      </c>
      <c r="J222" s="30" t="s">
        <v>376</v>
      </c>
      <c r="K222" s="30" t="s">
        <v>376</v>
      </c>
      <c r="L222" s="62">
        <f>'Расчет субсидий'!P222-1</f>
        <v>0.35557768924302779</v>
      </c>
      <c r="M222" s="62">
        <f>L222*'Расчет субсидий'!Q222</f>
        <v>7.1115537848605559</v>
      </c>
      <c r="N222" s="63">
        <f t="shared" si="81"/>
        <v>5.8661847099222806</v>
      </c>
      <c r="O222" s="62">
        <f>'Расчет субсидий'!R222-1</f>
        <v>0</v>
      </c>
      <c r="P222" s="62">
        <f>O222*'Расчет субсидий'!S222</f>
        <v>0</v>
      </c>
      <c r="Q222" s="63">
        <f t="shared" si="82"/>
        <v>0</v>
      </c>
      <c r="R222" s="62">
        <f>'Расчет субсидий'!V222-1</f>
        <v>-0.3833333333333333</v>
      </c>
      <c r="S222" s="62">
        <f>R222*'Расчет субсидий'!W222</f>
        <v>-9.5833333333333321</v>
      </c>
      <c r="T222" s="63">
        <f t="shared" si="83"/>
        <v>-7.905108387110487</v>
      </c>
      <c r="U222" s="62">
        <f>'Расчет субсидий'!Z222-1</f>
        <v>0.66666666666666674</v>
      </c>
      <c r="V222" s="62">
        <f>U222*'Расчет субсидий'!AA222</f>
        <v>16.666666666666668</v>
      </c>
      <c r="W222" s="63">
        <f t="shared" si="84"/>
        <v>13.74801458627911</v>
      </c>
      <c r="X222" s="62">
        <f t="shared" si="69"/>
        <v>14.194887118193892</v>
      </c>
    </row>
    <row r="223" spans="1:24" ht="15" customHeight="1">
      <c r="A223" s="36" t="s">
        <v>221</v>
      </c>
      <c r="B223" s="60">
        <f>'Расчет субсидий'!AG223</f>
        <v>41.045454545454533</v>
      </c>
      <c r="C223" s="62">
        <f>'Расчет субсидий'!D223-1</f>
        <v>0.11003009027081245</v>
      </c>
      <c r="D223" s="62">
        <f>C223*'Расчет субсидий'!E223</f>
        <v>1.1003009027081245</v>
      </c>
      <c r="E223" s="63">
        <f t="shared" si="80"/>
        <v>2.0826500410900342</v>
      </c>
      <c r="F223" s="30" t="s">
        <v>376</v>
      </c>
      <c r="G223" s="30" t="s">
        <v>376</v>
      </c>
      <c r="H223" s="30" t="s">
        <v>376</v>
      </c>
      <c r="I223" s="30" t="s">
        <v>376</v>
      </c>
      <c r="J223" s="30" t="s">
        <v>376</v>
      </c>
      <c r="K223" s="30" t="s">
        <v>376</v>
      </c>
      <c r="L223" s="62">
        <f>'Расчет субсидий'!P223-1</f>
        <v>0.70052945069490402</v>
      </c>
      <c r="M223" s="62">
        <f>L223*'Расчет субсидий'!Q223</f>
        <v>14.01058901389808</v>
      </c>
      <c r="N223" s="63">
        <f t="shared" si="81"/>
        <v>26.51924915600177</v>
      </c>
      <c r="O223" s="62">
        <f>'Расчет субсидий'!R223-1</f>
        <v>0</v>
      </c>
      <c r="P223" s="62">
        <f>O223*'Расчет субсидий'!S223</f>
        <v>0</v>
      </c>
      <c r="Q223" s="63">
        <f t="shared" si="82"/>
        <v>0</v>
      </c>
      <c r="R223" s="62">
        <f>'Расчет субсидий'!V223-1</f>
        <v>-7.4999999999999512E-3</v>
      </c>
      <c r="S223" s="62">
        <f>R223*'Расчет субсидий'!W223</f>
        <v>-0.11249999999999927</v>
      </c>
      <c r="T223" s="63">
        <f t="shared" si="83"/>
        <v>-0.21294005034982624</v>
      </c>
      <c r="U223" s="62">
        <f>'Расчет субсидий'!Z223-1</f>
        <v>0.19104716227018392</v>
      </c>
      <c r="V223" s="62">
        <f>U223*'Расчет субсидий'!AA223</f>
        <v>6.6866506794564371</v>
      </c>
      <c r="W223" s="63">
        <f t="shared" si="84"/>
        <v>12.656495398712559</v>
      </c>
      <c r="X223" s="62">
        <f t="shared" si="69"/>
        <v>21.685040596062642</v>
      </c>
    </row>
    <row r="224" spans="1:24" ht="15" customHeight="1">
      <c r="A224" s="36" t="s">
        <v>222</v>
      </c>
      <c r="B224" s="60">
        <f>'Расчет субсидий'!AG224</f>
        <v>-17.56363636363637</v>
      </c>
      <c r="C224" s="62">
        <f>'Расчет субсидий'!D224-1</f>
        <v>-1</v>
      </c>
      <c r="D224" s="62">
        <f>C224*'Расчет субсидий'!E224</f>
        <v>0</v>
      </c>
      <c r="E224" s="63">
        <f t="shared" si="80"/>
        <v>0</v>
      </c>
      <c r="F224" s="30" t="s">
        <v>376</v>
      </c>
      <c r="G224" s="30" t="s">
        <v>376</v>
      </c>
      <c r="H224" s="30" t="s">
        <v>376</v>
      </c>
      <c r="I224" s="30" t="s">
        <v>376</v>
      </c>
      <c r="J224" s="30" t="s">
        <v>376</v>
      </c>
      <c r="K224" s="30" t="s">
        <v>376</v>
      </c>
      <c r="L224" s="62">
        <f>'Расчет субсидий'!P224-1</f>
        <v>-0.22185991913395076</v>
      </c>
      <c r="M224" s="62">
        <f>L224*'Расчет субсидий'!Q224</f>
        <v>-4.4371983826790151</v>
      </c>
      <c r="N224" s="63">
        <f t="shared" si="81"/>
        <v>-2.6236767079712529</v>
      </c>
      <c r="O224" s="62">
        <f>'Расчет субсидий'!R224-1</f>
        <v>0</v>
      </c>
      <c r="P224" s="62">
        <f>O224*'Расчет субсидий'!S224</f>
        <v>0</v>
      </c>
      <c r="Q224" s="63">
        <f t="shared" si="82"/>
        <v>0</v>
      </c>
      <c r="R224" s="62">
        <f>'Расчет субсидий'!V224-1</f>
        <v>-0.55333333333333334</v>
      </c>
      <c r="S224" s="62">
        <f>R224*'Расчет субсидий'!W224</f>
        <v>-16.600000000000001</v>
      </c>
      <c r="T224" s="63">
        <f t="shared" si="83"/>
        <v>-9.8154352355161318</v>
      </c>
      <c r="U224" s="62">
        <f>'Расчет субсидий'!Z224-1</f>
        <v>-0.43333333333333335</v>
      </c>
      <c r="V224" s="62">
        <f>U224*'Расчет субсидий'!AA224</f>
        <v>-8.6666666666666679</v>
      </c>
      <c r="W224" s="63">
        <f t="shared" si="84"/>
        <v>-5.124524420148985</v>
      </c>
      <c r="X224" s="62">
        <f t="shared" si="69"/>
        <v>-29.703865049345684</v>
      </c>
    </row>
    <row r="225" spans="1:24" ht="15" customHeight="1">
      <c r="A225" s="36" t="s">
        <v>223</v>
      </c>
      <c r="B225" s="60">
        <f>'Расчет субсидий'!AG225</f>
        <v>4.1272727272727252</v>
      </c>
      <c r="C225" s="62">
        <f>'Расчет субсидий'!D225-1</f>
        <v>-1</v>
      </c>
      <c r="D225" s="62">
        <f>C225*'Расчет субсидий'!E225</f>
        <v>0</v>
      </c>
      <c r="E225" s="63">
        <f t="shared" si="80"/>
        <v>0</v>
      </c>
      <c r="F225" s="30" t="s">
        <v>376</v>
      </c>
      <c r="G225" s="30" t="s">
        <v>376</v>
      </c>
      <c r="H225" s="30" t="s">
        <v>376</v>
      </c>
      <c r="I225" s="30" t="s">
        <v>376</v>
      </c>
      <c r="J225" s="30" t="s">
        <v>376</v>
      </c>
      <c r="K225" s="30" t="s">
        <v>376</v>
      </c>
      <c r="L225" s="62">
        <f>'Расчет субсидий'!P225-1</f>
        <v>0.17593790426908162</v>
      </c>
      <c r="M225" s="62">
        <f>L225*'Расчет субсидий'!Q225</f>
        <v>3.5187580853816325</v>
      </c>
      <c r="N225" s="63">
        <f t="shared" si="81"/>
        <v>1.9783290066345895</v>
      </c>
      <c r="O225" s="62">
        <f>'Расчет субсидий'!R225-1</f>
        <v>0</v>
      </c>
      <c r="P225" s="62">
        <f>O225*'Расчет субсидий'!S225</f>
        <v>0</v>
      </c>
      <c r="Q225" s="63">
        <f t="shared" si="82"/>
        <v>0</v>
      </c>
      <c r="R225" s="62">
        <f>'Расчет субсидий'!V225-1</f>
        <v>-0.20444444444444454</v>
      </c>
      <c r="S225" s="62">
        <f>R225*'Расчет субсидий'!W225</f>
        <v>-8.1777777777777807</v>
      </c>
      <c r="T225" s="63">
        <f t="shared" si="83"/>
        <v>-4.5977400534583461</v>
      </c>
      <c r="U225" s="62">
        <f>'Расчет субсидий'!Z225-1</f>
        <v>1.1999999999999997</v>
      </c>
      <c r="V225" s="62">
        <f>U225*'Расчет субсидий'!AA225</f>
        <v>11.999999999999996</v>
      </c>
      <c r="W225" s="63">
        <f t="shared" si="84"/>
        <v>6.7466837740964829</v>
      </c>
      <c r="X225" s="62">
        <f t="shared" si="69"/>
        <v>7.3409803076038482</v>
      </c>
    </row>
    <row r="226" spans="1:24" ht="15" customHeight="1">
      <c r="A226" s="35" t="s">
        <v>224</v>
      </c>
      <c r="B226" s="64"/>
      <c r="C226" s="65"/>
      <c r="D226" s="65"/>
      <c r="E226" s="66"/>
      <c r="F226" s="65"/>
      <c r="G226" s="65"/>
      <c r="H226" s="66"/>
      <c r="I226" s="66"/>
      <c r="J226" s="66"/>
      <c r="K226" s="66"/>
      <c r="L226" s="65"/>
      <c r="M226" s="65"/>
      <c r="N226" s="66"/>
      <c r="O226" s="65"/>
      <c r="P226" s="65"/>
      <c r="Q226" s="66"/>
      <c r="R226" s="65"/>
      <c r="S226" s="65"/>
      <c r="T226" s="66"/>
      <c r="U226" s="65"/>
      <c r="V226" s="65"/>
      <c r="W226" s="66"/>
      <c r="X226" s="66"/>
    </row>
    <row r="227" spans="1:24" ht="15" customHeight="1">
      <c r="A227" s="36" t="s">
        <v>225</v>
      </c>
      <c r="B227" s="60">
        <f>'Расчет субсидий'!AG227</f>
        <v>17.963636363636354</v>
      </c>
      <c r="C227" s="62">
        <f>'Расчет субсидий'!D227-1</f>
        <v>-1</v>
      </c>
      <c r="D227" s="62">
        <f>C227*'Расчет субсидий'!E227</f>
        <v>0</v>
      </c>
      <c r="E227" s="63">
        <f t="shared" ref="E227:E235" si="85">$B227*D227/$X227</f>
        <v>0</v>
      </c>
      <c r="F227" s="30" t="s">
        <v>376</v>
      </c>
      <c r="G227" s="30" t="s">
        <v>376</v>
      </c>
      <c r="H227" s="30" t="s">
        <v>376</v>
      </c>
      <c r="I227" s="30" t="s">
        <v>376</v>
      </c>
      <c r="J227" s="30" t="s">
        <v>376</v>
      </c>
      <c r="K227" s="30" t="s">
        <v>376</v>
      </c>
      <c r="L227" s="62">
        <f>'Расчет субсидий'!P227-1</f>
        <v>0.6495360456816559</v>
      </c>
      <c r="M227" s="62">
        <f>L227*'Расчет субсидий'!Q227</f>
        <v>12.990720913633119</v>
      </c>
      <c r="N227" s="63">
        <f t="shared" ref="N227:N235" si="86">$B227*M227/$X227</f>
        <v>17.963636363636354</v>
      </c>
      <c r="O227" s="62">
        <f>'Расчет субсидий'!R227-1</f>
        <v>0</v>
      </c>
      <c r="P227" s="62">
        <f>O227*'Расчет субсидий'!S227</f>
        <v>0</v>
      </c>
      <c r="Q227" s="63">
        <f t="shared" ref="Q227:Q235" si="87">$B227*P227/$X227</f>
        <v>0</v>
      </c>
      <c r="R227" s="62">
        <f>'Расчет субсидий'!V227-1</f>
        <v>0</v>
      </c>
      <c r="S227" s="62">
        <f>R227*'Расчет субсидий'!W227</f>
        <v>0</v>
      </c>
      <c r="T227" s="63">
        <f t="shared" ref="T227:T235" si="88">$B227*S227/$X227</f>
        <v>0</v>
      </c>
      <c r="U227" s="62">
        <f>'Расчет субсидий'!Z227-1</f>
        <v>0</v>
      </c>
      <c r="V227" s="62">
        <f>U227*'Расчет субсидий'!AA227</f>
        <v>0</v>
      </c>
      <c r="W227" s="63">
        <f t="shared" ref="W227:W235" si="89">$B227*V227/$X227</f>
        <v>0</v>
      </c>
      <c r="X227" s="62">
        <f t="shared" si="69"/>
        <v>12.990720913633119</v>
      </c>
    </row>
    <row r="228" spans="1:24" ht="15" customHeight="1">
      <c r="A228" s="36" t="s">
        <v>149</v>
      </c>
      <c r="B228" s="60">
        <f>'Расчет субсидий'!AG228</f>
        <v>5.181818181818187</v>
      </c>
      <c r="C228" s="62">
        <f>'Расчет субсидий'!D228-1</f>
        <v>-1</v>
      </c>
      <c r="D228" s="62">
        <f>C228*'Расчет субсидий'!E228</f>
        <v>0</v>
      </c>
      <c r="E228" s="63">
        <f t="shared" si="85"/>
        <v>0</v>
      </c>
      <c r="F228" s="30" t="s">
        <v>376</v>
      </c>
      <c r="G228" s="30" t="s">
        <v>376</v>
      </c>
      <c r="H228" s="30" t="s">
        <v>376</v>
      </c>
      <c r="I228" s="30" t="s">
        <v>376</v>
      </c>
      <c r="J228" s="30" t="s">
        <v>376</v>
      </c>
      <c r="K228" s="30" t="s">
        <v>376</v>
      </c>
      <c r="L228" s="62">
        <f>'Расчет субсидий'!P228-1</f>
        <v>-0.28953922789539233</v>
      </c>
      <c r="M228" s="62">
        <f>L228*'Расчет субсидий'!Q228</f>
        <v>-5.7907845579078465</v>
      </c>
      <c r="N228" s="63">
        <f t="shared" si="86"/>
        <v>-6.4272611269605102</v>
      </c>
      <c r="O228" s="62">
        <f>'Расчет субсидий'!R228-1</f>
        <v>0</v>
      </c>
      <c r="P228" s="62">
        <f>O228*'Расчет субсидий'!S228</f>
        <v>0</v>
      </c>
      <c r="Q228" s="63">
        <f t="shared" si="87"/>
        <v>0</v>
      </c>
      <c r="R228" s="62">
        <f>'Расчет субсидий'!V228-1</f>
        <v>0.34864864864864864</v>
      </c>
      <c r="S228" s="62">
        <f>R228*'Расчет субсидий'!W228</f>
        <v>10.45945945945946</v>
      </c>
      <c r="T228" s="63">
        <f t="shared" si="88"/>
        <v>11.609079308778698</v>
      </c>
      <c r="U228" s="62">
        <f>'Расчет субсидий'!Z228-1</f>
        <v>0</v>
      </c>
      <c r="V228" s="62">
        <f>U228*'Расчет субсидий'!AA228</f>
        <v>0</v>
      </c>
      <c r="W228" s="63">
        <f t="shared" si="89"/>
        <v>0</v>
      </c>
      <c r="X228" s="62">
        <f t="shared" si="69"/>
        <v>4.6686749015516131</v>
      </c>
    </row>
    <row r="229" spans="1:24" ht="15" customHeight="1">
      <c r="A229" s="36" t="s">
        <v>226</v>
      </c>
      <c r="B229" s="60">
        <f>'Расчет субсидий'!AG229</f>
        <v>27.618181818181824</v>
      </c>
      <c r="C229" s="62">
        <f>'Расчет субсидий'!D229-1</f>
        <v>-1</v>
      </c>
      <c r="D229" s="62">
        <f>C229*'Расчет субсидий'!E229</f>
        <v>0</v>
      </c>
      <c r="E229" s="63">
        <f t="shared" si="85"/>
        <v>0</v>
      </c>
      <c r="F229" s="30" t="s">
        <v>376</v>
      </c>
      <c r="G229" s="30" t="s">
        <v>376</v>
      </c>
      <c r="H229" s="30" t="s">
        <v>376</v>
      </c>
      <c r="I229" s="30" t="s">
        <v>376</v>
      </c>
      <c r="J229" s="30" t="s">
        <v>376</v>
      </c>
      <c r="K229" s="30" t="s">
        <v>376</v>
      </c>
      <c r="L229" s="62">
        <f>'Расчет субсидий'!P229-1</f>
        <v>0.30843373493975901</v>
      </c>
      <c r="M229" s="62">
        <f>L229*'Расчет субсидий'!Q229</f>
        <v>6.1686746987951802</v>
      </c>
      <c r="N229" s="63">
        <f t="shared" si="86"/>
        <v>10.46293641245229</v>
      </c>
      <c r="O229" s="62">
        <f>'Расчет субсидий'!R229-1</f>
        <v>0</v>
      </c>
      <c r="P229" s="62">
        <f>O229*'Расчет субсидий'!S229</f>
        <v>0</v>
      </c>
      <c r="Q229" s="63">
        <f t="shared" si="87"/>
        <v>0</v>
      </c>
      <c r="R229" s="62">
        <f>'Расчет субсидий'!V229-1</f>
        <v>0.67428571428571438</v>
      </c>
      <c r="S229" s="62">
        <f>R229*'Расчет субсидий'!W229</f>
        <v>10.114285714285716</v>
      </c>
      <c r="T229" s="63">
        <f t="shared" si="88"/>
        <v>17.155245405729534</v>
      </c>
      <c r="U229" s="62">
        <f>'Расчет субсидий'!Z229-1</f>
        <v>0</v>
      </c>
      <c r="V229" s="62">
        <f>U229*'Расчет субсидий'!AA229</f>
        <v>0</v>
      </c>
      <c r="W229" s="63">
        <f t="shared" si="89"/>
        <v>0</v>
      </c>
      <c r="X229" s="62">
        <f t="shared" si="69"/>
        <v>16.282960413080897</v>
      </c>
    </row>
    <row r="230" spans="1:24" ht="15" customHeight="1">
      <c r="A230" s="36" t="s">
        <v>227</v>
      </c>
      <c r="B230" s="60">
        <f>'Расчет субсидий'!AG230</f>
        <v>32.281818181818181</v>
      </c>
      <c r="C230" s="62">
        <f>'Расчет субсидий'!D230-1</f>
        <v>-1</v>
      </c>
      <c r="D230" s="62">
        <f>C230*'Расчет субсидий'!E230</f>
        <v>0</v>
      </c>
      <c r="E230" s="63">
        <f t="shared" si="85"/>
        <v>0</v>
      </c>
      <c r="F230" s="30" t="s">
        <v>376</v>
      </c>
      <c r="G230" s="30" t="s">
        <v>376</v>
      </c>
      <c r="H230" s="30" t="s">
        <v>376</v>
      </c>
      <c r="I230" s="30" t="s">
        <v>376</v>
      </c>
      <c r="J230" s="30" t="s">
        <v>376</v>
      </c>
      <c r="K230" s="30" t="s">
        <v>376</v>
      </c>
      <c r="L230" s="62">
        <f>'Расчет субсидий'!P230-1</f>
        <v>1.7585034013605441</v>
      </c>
      <c r="M230" s="62">
        <f>L230*'Расчет субсидий'!Q230</f>
        <v>35.170068027210881</v>
      </c>
      <c r="N230" s="63">
        <f t="shared" si="86"/>
        <v>27.246265610970529</v>
      </c>
      <c r="O230" s="62">
        <f>'Расчет субсидий'!R230-1</f>
        <v>0</v>
      </c>
      <c r="P230" s="62">
        <f>O230*'Расчет субсидий'!S230</f>
        <v>0</v>
      </c>
      <c r="Q230" s="63">
        <f t="shared" si="87"/>
        <v>0</v>
      </c>
      <c r="R230" s="62">
        <f>'Расчет субсидий'!V230-1</f>
        <v>0.66000000000000014</v>
      </c>
      <c r="S230" s="62">
        <f>R230*'Расчет субсидий'!W230</f>
        <v>16.500000000000004</v>
      </c>
      <c r="T230" s="63">
        <f t="shared" si="88"/>
        <v>12.78255652599788</v>
      </c>
      <c r="U230" s="62">
        <f>'Расчет субсидий'!Z230-1</f>
        <v>-0.4</v>
      </c>
      <c r="V230" s="62">
        <f>U230*'Расчет субсидий'!AA230</f>
        <v>-10</v>
      </c>
      <c r="W230" s="63">
        <f t="shared" si="89"/>
        <v>-7.7470039551502277</v>
      </c>
      <c r="X230" s="62">
        <f t="shared" si="69"/>
        <v>41.670068027210888</v>
      </c>
    </row>
    <row r="231" spans="1:24" ht="15" customHeight="1">
      <c r="A231" s="36" t="s">
        <v>228</v>
      </c>
      <c r="B231" s="60">
        <f>'Расчет субсидий'!AG231</f>
        <v>0.41818181818181843</v>
      </c>
      <c r="C231" s="62">
        <f>'Расчет субсидий'!D231-1</f>
        <v>0.21738490954552137</v>
      </c>
      <c r="D231" s="62">
        <f>C231*'Расчет субсидий'!E231</f>
        <v>2.1738490954552137</v>
      </c>
      <c r="E231" s="63">
        <f t="shared" si="85"/>
        <v>4.1139338183888714E-2</v>
      </c>
      <c r="F231" s="30" t="s">
        <v>376</v>
      </c>
      <c r="G231" s="30" t="s">
        <v>376</v>
      </c>
      <c r="H231" s="30" t="s">
        <v>376</v>
      </c>
      <c r="I231" s="30" t="s">
        <v>376</v>
      </c>
      <c r="J231" s="30" t="s">
        <v>376</v>
      </c>
      <c r="K231" s="30" t="s">
        <v>376</v>
      </c>
      <c r="L231" s="62">
        <f>'Расчет субсидий'!P231-1</f>
        <v>0.12116752514103513</v>
      </c>
      <c r="M231" s="62">
        <f>L231*'Расчет субсидий'!Q231</f>
        <v>2.4233505028207025</v>
      </c>
      <c r="N231" s="63">
        <f t="shared" si="86"/>
        <v>4.5861065555132773E-2</v>
      </c>
      <c r="O231" s="62">
        <f>'Расчет субсидий'!R231-1</f>
        <v>0</v>
      </c>
      <c r="P231" s="62">
        <f>O231*'Расчет субсидий'!S231</f>
        <v>0</v>
      </c>
      <c r="Q231" s="63">
        <f t="shared" si="87"/>
        <v>0</v>
      </c>
      <c r="R231" s="62">
        <f>'Расчет субсидий'!V231-1</f>
        <v>0</v>
      </c>
      <c r="S231" s="62">
        <f>R231*'Расчет субсидий'!W231</f>
        <v>0</v>
      </c>
      <c r="T231" s="63">
        <f t="shared" si="88"/>
        <v>0</v>
      </c>
      <c r="U231" s="62">
        <f>'Расчет субсидий'!Z231-1</f>
        <v>0.5</v>
      </c>
      <c r="V231" s="62">
        <f>U231*'Расчет субсидий'!AA231</f>
        <v>17.5</v>
      </c>
      <c r="W231" s="63">
        <f t="shared" si="89"/>
        <v>0.33118141444279697</v>
      </c>
      <c r="X231" s="62">
        <f t="shared" si="69"/>
        <v>22.097199598275914</v>
      </c>
    </row>
    <row r="232" spans="1:24" ht="15" customHeight="1">
      <c r="A232" s="36" t="s">
        <v>229</v>
      </c>
      <c r="B232" s="60">
        <f>'Расчет субсидий'!AG232</f>
        <v>34.445454545454538</v>
      </c>
      <c r="C232" s="62">
        <f>'Расчет субсидий'!D232-1</f>
        <v>1.2602010784484259</v>
      </c>
      <c r="D232" s="62">
        <f>C232*'Расчет субсидий'!E232</f>
        <v>12.602010784484259</v>
      </c>
      <c r="E232" s="63">
        <f t="shared" si="85"/>
        <v>23.505926500753176</v>
      </c>
      <c r="F232" s="30" t="s">
        <v>376</v>
      </c>
      <c r="G232" s="30" t="s">
        <v>376</v>
      </c>
      <c r="H232" s="30" t="s">
        <v>376</v>
      </c>
      <c r="I232" s="30" t="s">
        <v>376</v>
      </c>
      <c r="J232" s="30" t="s">
        <v>376</v>
      </c>
      <c r="K232" s="30" t="s">
        <v>376</v>
      </c>
      <c r="L232" s="62">
        <f>'Расчет субсидий'!P232-1</f>
        <v>0.2932453021838497</v>
      </c>
      <c r="M232" s="62">
        <f>L232*'Расчет субсидий'!Q232</f>
        <v>5.864906043676994</v>
      </c>
      <c r="N232" s="63">
        <f t="shared" si="86"/>
        <v>10.93952804470136</v>
      </c>
      <c r="O232" s="62">
        <f>'Расчет субсидий'!R232-1</f>
        <v>0</v>
      </c>
      <c r="P232" s="62">
        <f>O232*'Расчет субсидий'!S232</f>
        <v>0</v>
      </c>
      <c r="Q232" s="63">
        <f t="shared" si="87"/>
        <v>0</v>
      </c>
      <c r="R232" s="62">
        <f>'Расчет субсидий'!V232-1</f>
        <v>0</v>
      </c>
      <c r="S232" s="62">
        <f>R232*'Расчет субсидий'!W232</f>
        <v>0</v>
      </c>
      <c r="T232" s="63">
        <f t="shared" si="88"/>
        <v>0</v>
      </c>
      <c r="U232" s="62">
        <f>'Расчет субсидий'!Z232-1</f>
        <v>0</v>
      </c>
      <c r="V232" s="62">
        <f>U232*'Расчет субсидий'!AA232</f>
        <v>0</v>
      </c>
      <c r="W232" s="63">
        <f t="shared" si="89"/>
        <v>0</v>
      </c>
      <c r="X232" s="62">
        <f t="shared" si="69"/>
        <v>18.466916828161253</v>
      </c>
    </row>
    <row r="233" spans="1:24" ht="15" customHeight="1">
      <c r="A233" s="36" t="s">
        <v>230</v>
      </c>
      <c r="B233" s="60">
        <f>'Расчет субсидий'!AG233</f>
        <v>13.972727272727269</v>
      </c>
      <c r="C233" s="62">
        <f>'Расчет субсидий'!D233-1</f>
        <v>-1</v>
      </c>
      <c r="D233" s="62">
        <f>C233*'Расчет субсидий'!E233</f>
        <v>0</v>
      </c>
      <c r="E233" s="63">
        <f t="shared" si="85"/>
        <v>0</v>
      </c>
      <c r="F233" s="30" t="s">
        <v>376</v>
      </c>
      <c r="G233" s="30" t="s">
        <v>376</v>
      </c>
      <c r="H233" s="30" t="s">
        <v>376</v>
      </c>
      <c r="I233" s="30" t="s">
        <v>376</v>
      </c>
      <c r="J233" s="30" t="s">
        <v>376</v>
      </c>
      <c r="K233" s="30" t="s">
        <v>376</v>
      </c>
      <c r="L233" s="62">
        <f>'Расчет субсидий'!P233-1</f>
        <v>0.43901068015739164</v>
      </c>
      <c r="M233" s="62">
        <f>L233*'Расчет субсидий'!Q233</f>
        <v>8.7802136031478319</v>
      </c>
      <c r="N233" s="63">
        <f t="shared" si="86"/>
        <v>3.973497497997355</v>
      </c>
      <c r="O233" s="62">
        <f>'Расчет субсидий'!R233-1</f>
        <v>0</v>
      </c>
      <c r="P233" s="62">
        <f>O233*'Расчет субсидий'!S233</f>
        <v>0</v>
      </c>
      <c r="Q233" s="63">
        <f t="shared" si="87"/>
        <v>0</v>
      </c>
      <c r="R233" s="62">
        <f>'Расчет субсидий'!V233-1</f>
        <v>1.4285714285714235E-2</v>
      </c>
      <c r="S233" s="62">
        <f>R233*'Расчет субсидий'!W233</f>
        <v>0.42857142857142705</v>
      </c>
      <c r="T233" s="63">
        <f t="shared" si="88"/>
        <v>0.19395057752708814</v>
      </c>
      <c r="U233" s="62">
        <f>'Расчет субсидий'!Z233-1</f>
        <v>1.0833333333333335</v>
      </c>
      <c r="V233" s="62">
        <f>U233*'Расчет субсидий'!AA233</f>
        <v>21.666666666666671</v>
      </c>
      <c r="W233" s="63">
        <f t="shared" si="89"/>
        <v>9.805279197202827</v>
      </c>
      <c r="X233" s="62">
        <f t="shared" si="69"/>
        <v>30.87545169838593</v>
      </c>
    </row>
    <row r="234" spans="1:24" ht="15" customHeight="1">
      <c r="A234" s="36" t="s">
        <v>231</v>
      </c>
      <c r="B234" s="60">
        <f>'Расчет субсидий'!AG234</f>
        <v>-20.972727272727269</v>
      </c>
      <c r="C234" s="62">
        <f>'Расчет субсидий'!D234-1</f>
        <v>-1</v>
      </c>
      <c r="D234" s="62">
        <f>C234*'Расчет субсидий'!E234</f>
        <v>0</v>
      </c>
      <c r="E234" s="63">
        <f t="shared" si="85"/>
        <v>0</v>
      </c>
      <c r="F234" s="30" t="s">
        <v>376</v>
      </c>
      <c r="G234" s="30" t="s">
        <v>376</v>
      </c>
      <c r="H234" s="30" t="s">
        <v>376</v>
      </c>
      <c r="I234" s="30" t="s">
        <v>376</v>
      </c>
      <c r="J234" s="30" t="s">
        <v>376</v>
      </c>
      <c r="K234" s="30" t="s">
        <v>376</v>
      </c>
      <c r="L234" s="62">
        <f>'Расчет субсидий'!P234-1</f>
        <v>-0.48154295578276463</v>
      </c>
      <c r="M234" s="62">
        <f>L234*'Расчет субсидий'!Q234</f>
        <v>-9.6308591156552925</v>
      </c>
      <c r="N234" s="63">
        <f t="shared" si="86"/>
        <v>-11.790732751407102</v>
      </c>
      <c r="O234" s="62">
        <f>'Расчет субсидий'!R234-1</f>
        <v>0</v>
      </c>
      <c r="P234" s="62">
        <f>O234*'Расчет субсидий'!S234</f>
        <v>0</v>
      </c>
      <c r="Q234" s="63">
        <f t="shared" si="87"/>
        <v>0</v>
      </c>
      <c r="R234" s="62">
        <f>'Расчет субсидий'!V234-1</f>
        <v>0</v>
      </c>
      <c r="S234" s="62">
        <f>R234*'Расчет субсидий'!W234</f>
        <v>0</v>
      </c>
      <c r="T234" s="63">
        <f t="shared" si="88"/>
        <v>0</v>
      </c>
      <c r="U234" s="62">
        <f>'Расчет субсидий'!Z234-1</f>
        <v>-0.30000000000000004</v>
      </c>
      <c r="V234" s="62">
        <f>U234*'Расчет субсидий'!AA234</f>
        <v>-7.5000000000000009</v>
      </c>
      <c r="W234" s="63">
        <f t="shared" si="89"/>
        <v>-9.1819945213201652</v>
      </c>
      <c r="X234" s="62">
        <f t="shared" si="69"/>
        <v>-17.130859115655294</v>
      </c>
    </row>
    <row r="235" spans="1:24" ht="15" customHeight="1">
      <c r="A235" s="36" t="s">
        <v>232</v>
      </c>
      <c r="B235" s="60">
        <f>'Расчет субсидий'!AG235</f>
        <v>87.290909090909054</v>
      </c>
      <c r="C235" s="62">
        <f>'Расчет субсидий'!D235-1</f>
        <v>4.7367467005883288</v>
      </c>
      <c r="D235" s="62">
        <f>C235*'Расчет субсидий'!E235</f>
        <v>47.367467005883285</v>
      </c>
      <c r="E235" s="63">
        <f t="shared" si="85"/>
        <v>62.064976265725349</v>
      </c>
      <c r="F235" s="30" t="s">
        <v>376</v>
      </c>
      <c r="G235" s="30" t="s">
        <v>376</v>
      </c>
      <c r="H235" s="30" t="s">
        <v>376</v>
      </c>
      <c r="I235" s="30" t="s">
        <v>376</v>
      </c>
      <c r="J235" s="30" t="s">
        <v>376</v>
      </c>
      <c r="K235" s="30" t="s">
        <v>376</v>
      </c>
      <c r="L235" s="62">
        <f>'Расчет субсидий'!P235-1</f>
        <v>-0.63738902946348153</v>
      </c>
      <c r="M235" s="62">
        <f>L235*'Расчет субсидий'!Q235</f>
        <v>-12.747780589269631</v>
      </c>
      <c r="N235" s="63">
        <f t="shared" si="86"/>
        <v>-16.703251191697117</v>
      </c>
      <c r="O235" s="62">
        <f>'Расчет субсидий'!R235-1</f>
        <v>0</v>
      </c>
      <c r="P235" s="62">
        <f>O235*'Расчет субсидий'!S235</f>
        <v>0</v>
      </c>
      <c r="Q235" s="63">
        <f t="shared" si="87"/>
        <v>0</v>
      </c>
      <c r="R235" s="62">
        <f>'Расчет субсидий'!V235-1</f>
        <v>1</v>
      </c>
      <c r="S235" s="62">
        <f>R235*'Расчет субсидий'!W235</f>
        <v>20</v>
      </c>
      <c r="T235" s="63">
        <f t="shared" si="88"/>
        <v>26.20574001055051</v>
      </c>
      <c r="U235" s="62">
        <f>'Расчет субсидий'!Z235-1</f>
        <v>0.40000000000000013</v>
      </c>
      <c r="V235" s="62">
        <f>U235*'Расчет субсидий'!AA235</f>
        <v>12.000000000000004</v>
      </c>
      <c r="W235" s="63">
        <f t="shared" si="89"/>
        <v>15.723444006330311</v>
      </c>
      <c r="X235" s="62">
        <f t="shared" si="69"/>
        <v>66.619686416613661</v>
      </c>
    </row>
    <row r="236" spans="1:24" ht="15" customHeight="1">
      <c r="A236" s="35" t="s">
        <v>233</v>
      </c>
      <c r="B236" s="64"/>
      <c r="C236" s="65"/>
      <c r="D236" s="65"/>
      <c r="E236" s="66"/>
      <c r="F236" s="65"/>
      <c r="G236" s="65"/>
      <c r="H236" s="66"/>
      <c r="I236" s="66"/>
      <c r="J236" s="66"/>
      <c r="K236" s="66"/>
      <c r="L236" s="65"/>
      <c r="M236" s="65"/>
      <c r="N236" s="66"/>
      <c r="O236" s="65"/>
      <c r="P236" s="65"/>
      <c r="Q236" s="66"/>
      <c r="R236" s="65"/>
      <c r="S236" s="65"/>
      <c r="T236" s="66"/>
      <c r="U236" s="65"/>
      <c r="V236" s="65"/>
      <c r="W236" s="66"/>
      <c r="X236" s="66"/>
    </row>
    <row r="237" spans="1:24" ht="15" customHeight="1">
      <c r="A237" s="36" t="s">
        <v>234</v>
      </c>
      <c r="B237" s="60">
        <f>'Расчет субсидий'!AG237</f>
        <v>-21.36363636363636</v>
      </c>
      <c r="C237" s="62">
        <f>'Расчет субсидий'!D237-1</f>
        <v>-1</v>
      </c>
      <c r="D237" s="62">
        <f>C237*'Расчет субсидий'!E237</f>
        <v>0</v>
      </c>
      <c r="E237" s="63">
        <f t="shared" ref="E237:E244" si="90">$B237*D237/$X237</f>
        <v>0</v>
      </c>
      <c r="F237" s="30" t="s">
        <v>376</v>
      </c>
      <c r="G237" s="30" t="s">
        <v>376</v>
      </c>
      <c r="H237" s="30" t="s">
        <v>376</v>
      </c>
      <c r="I237" s="30" t="s">
        <v>376</v>
      </c>
      <c r="J237" s="30" t="s">
        <v>376</v>
      </c>
      <c r="K237" s="30" t="s">
        <v>376</v>
      </c>
      <c r="L237" s="62">
        <f>'Расчет субсидий'!P237-1</f>
        <v>-0.75334742776603236</v>
      </c>
      <c r="M237" s="62">
        <f>L237*'Расчет субсидий'!Q237</f>
        <v>-15.066948555320646</v>
      </c>
      <c r="N237" s="63">
        <f t="shared" ref="N237:N244" si="91">$B237*M237/$X237</f>
        <v>-12.841004932655197</v>
      </c>
      <c r="O237" s="62">
        <f>'Расчет субсидий'!R237-1</f>
        <v>0</v>
      </c>
      <c r="P237" s="62">
        <f>O237*'Расчет субсидий'!S237</f>
        <v>0</v>
      </c>
      <c r="Q237" s="63">
        <f t="shared" ref="Q237:Q244" si="92">$B237*P237/$X237</f>
        <v>0</v>
      </c>
      <c r="R237" s="62">
        <f>'Расчет субсидий'!V237-1</f>
        <v>-0.65</v>
      </c>
      <c r="S237" s="62">
        <f>R237*'Расчет субсидий'!W237</f>
        <v>-13</v>
      </c>
      <c r="T237" s="63">
        <f t="shared" ref="T237:T244" si="93">$B237*S237/$X237</f>
        <v>-11.079420860275514</v>
      </c>
      <c r="U237" s="62">
        <f>'Расчет субсидий'!Z237-1</f>
        <v>0.10000000000000009</v>
      </c>
      <c r="V237" s="62">
        <f>U237*'Расчет субсидий'!AA237</f>
        <v>3.0000000000000027</v>
      </c>
      <c r="W237" s="63">
        <f t="shared" ref="W237:W244" si="94">$B237*V237/$X237</f>
        <v>2.5567894292943514</v>
      </c>
      <c r="X237" s="62">
        <f t="shared" si="69"/>
        <v>-25.066948555320643</v>
      </c>
    </row>
    <row r="238" spans="1:24" ht="15" customHeight="1">
      <c r="A238" s="36" t="s">
        <v>235</v>
      </c>
      <c r="B238" s="60">
        <f>'Расчет субсидий'!AG238</f>
        <v>5.245454545454546</v>
      </c>
      <c r="C238" s="62">
        <f>'Расчет субсидий'!D238-1</f>
        <v>-1</v>
      </c>
      <c r="D238" s="62">
        <f>C238*'Расчет субсидий'!E238</f>
        <v>0</v>
      </c>
      <c r="E238" s="63">
        <f t="shared" si="90"/>
        <v>0</v>
      </c>
      <c r="F238" s="30" t="s">
        <v>376</v>
      </c>
      <c r="G238" s="30" t="s">
        <v>376</v>
      </c>
      <c r="H238" s="30" t="s">
        <v>376</v>
      </c>
      <c r="I238" s="30" t="s">
        <v>376</v>
      </c>
      <c r="J238" s="30" t="s">
        <v>376</v>
      </c>
      <c r="K238" s="30" t="s">
        <v>376</v>
      </c>
      <c r="L238" s="62">
        <f>'Расчет субсидий'!P238-1</f>
        <v>-0.42047801711419297</v>
      </c>
      <c r="M238" s="62">
        <f>L238*'Расчет субсидий'!Q238</f>
        <v>-8.409560342283859</v>
      </c>
      <c r="N238" s="63">
        <f t="shared" si="91"/>
        <v>-2.0139747089686679</v>
      </c>
      <c r="O238" s="62">
        <f>'Расчет субсидий'!R238-1</f>
        <v>0</v>
      </c>
      <c r="P238" s="62">
        <f>O238*'Расчет субсидий'!S238</f>
        <v>0</v>
      </c>
      <c r="Q238" s="63">
        <f t="shared" si="92"/>
        <v>0</v>
      </c>
      <c r="R238" s="62">
        <f>'Расчет субсидий'!V238-1</f>
        <v>0.9375</v>
      </c>
      <c r="S238" s="62">
        <f>R238*'Расчет субсидий'!W238</f>
        <v>23.4375</v>
      </c>
      <c r="T238" s="63">
        <f t="shared" si="93"/>
        <v>5.6129607637292898</v>
      </c>
      <c r="U238" s="62">
        <f>'Расчет субсидий'!Z238-1</f>
        <v>0.27499999999999991</v>
      </c>
      <c r="V238" s="62">
        <f>U238*'Расчет субсидий'!AA238</f>
        <v>6.8749999999999982</v>
      </c>
      <c r="W238" s="63">
        <f t="shared" si="94"/>
        <v>1.6464684906939244</v>
      </c>
      <c r="X238" s="62">
        <f t="shared" si="69"/>
        <v>21.902939657716139</v>
      </c>
    </row>
    <row r="239" spans="1:24" ht="15" customHeight="1">
      <c r="A239" s="36" t="s">
        <v>236</v>
      </c>
      <c r="B239" s="60">
        <f>'Расчет субсидий'!AG239</f>
        <v>69.672727272727229</v>
      </c>
      <c r="C239" s="62">
        <f>'Расчет субсидий'!D239-1</f>
        <v>-1</v>
      </c>
      <c r="D239" s="62">
        <f>C239*'Расчет субсидий'!E239</f>
        <v>0</v>
      </c>
      <c r="E239" s="63">
        <f t="shared" si="90"/>
        <v>0</v>
      </c>
      <c r="F239" s="30" t="s">
        <v>376</v>
      </c>
      <c r="G239" s="30" t="s">
        <v>376</v>
      </c>
      <c r="H239" s="30" t="s">
        <v>376</v>
      </c>
      <c r="I239" s="30" t="s">
        <v>376</v>
      </c>
      <c r="J239" s="30" t="s">
        <v>376</v>
      </c>
      <c r="K239" s="30" t="s">
        <v>376</v>
      </c>
      <c r="L239" s="62">
        <f>'Расчет субсидий'!P239-1</f>
        <v>-0.57756563245823389</v>
      </c>
      <c r="M239" s="62">
        <f>L239*'Расчет субсидий'!Q239</f>
        <v>-11.551312649164679</v>
      </c>
      <c r="N239" s="63">
        <f t="shared" si="91"/>
        <v>-24.433269376676179</v>
      </c>
      <c r="O239" s="62">
        <f>'Расчет субсидий'!R239-1</f>
        <v>0</v>
      </c>
      <c r="P239" s="62">
        <f>O239*'Расчет субсидий'!S239</f>
        <v>0</v>
      </c>
      <c r="Q239" s="63">
        <f t="shared" si="92"/>
        <v>0</v>
      </c>
      <c r="R239" s="62">
        <f>'Расчет субсидий'!V239-1</f>
        <v>1.177142857142857</v>
      </c>
      <c r="S239" s="62">
        <f>R239*'Расчет субсидий'!W239</f>
        <v>17.657142857142855</v>
      </c>
      <c r="T239" s="63">
        <f t="shared" si="93"/>
        <v>37.348285944127994</v>
      </c>
      <c r="U239" s="62">
        <f>'Расчет субсидий'!Z239-1</f>
        <v>0.76666666666666661</v>
      </c>
      <c r="V239" s="62">
        <f>U239*'Расчет субсидий'!AA239</f>
        <v>26.833333333333332</v>
      </c>
      <c r="W239" s="63">
        <f t="shared" si="94"/>
        <v>56.757710705275422</v>
      </c>
      <c r="X239" s="62">
        <f t="shared" si="69"/>
        <v>32.939163541311508</v>
      </c>
    </row>
    <row r="240" spans="1:24" ht="15" customHeight="1">
      <c r="A240" s="36" t="s">
        <v>237</v>
      </c>
      <c r="B240" s="60">
        <f>'Расчет субсидий'!AG240</f>
        <v>14.145454545454527</v>
      </c>
      <c r="C240" s="62">
        <f>'Расчет субсидий'!D240-1</f>
        <v>0.83586666666666676</v>
      </c>
      <c r="D240" s="62">
        <f>C240*'Расчет субсидий'!E240</f>
        <v>8.358666666666668</v>
      </c>
      <c r="E240" s="63">
        <f t="shared" si="90"/>
        <v>12.358125976354671</v>
      </c>
      <c r="F240" s="30" t="s">
        <v>376</v>
      </c>
      <c r="G240" s="30" t="s">
        <v>376</v>
      </c>
      <c r="H240" s="30" t="s">
        <v>376</v>
      </c>
      <c r="I240" s="30" t="s">
        <v>376</v>
      </c>
      <c r="J240" s="30" t="s">
        <v>376</v>
      </c>
      <c r="K240" s="30" t="s">
        <v>376</v>
      </c>
      <c r="L240" s="62">
        <f>'Расчет субсидий'!P240-1</f>
        <v>-0.47205522155421964</v>
      </c>
      <c r="M240" s="62">
        <f>L240*'Расчет субсидий'!Q240</f>
        <v>-9.4411044310843923</v>
      </c>
      <c r="N240" s="63">
        <f t="shared" si="91"/>
        <v>-13.95848914283712</v>
      </c>
      <c r="O240" s="62">
        <f>'Расчет субсидий'!R240-1</f>
        <v>0</v>
      </c>
      <c r="P240" s="62">
        <f>O240*'Расчет субсидий'!S240</f>
        <v>0</v>
      </c>
      <c r="Q240" s="63">
        <f t="shared" si="92"/>
        <v>0</v>
      </c>
      <c r="R240" s="62">
        <f>'Расчет субсидий'!V240-1</f>
        <v>0.3600000000000001</v>
      </c>
      <c r="S240" s="62">
        <f>R240*'Расчет субсидий'!W240</f>
        <v>5.4000000000000012</v>
      </c>
      <c r="T240" s="63">
        <f t="shared" si="93"/>
        <v>7.9837948961934</v>
      </c>
      <c r="U240" s="62">
        <f>'Расчет субсидий'!Z240-1</f>
        <v>0.14999999999999991</v>
      </c>
      <c r="V240" s="62">
        <f>U240*'Расчет субсидий'!AA240</f>
        <v>5.2499999999999964</v>
      </c>
      <c r="W240" s="63">
        <f t="shared" si="94"/>
        <v>7.7620228157435758</v>
      </c>
      <c r="X240" s="62">
        <f t="shared" ref="X240:X303" si="95">D240+M240+P240+S240+V240</f>
        <v>9.5675622355822725</v>
      </c>
    </row>
    <row r="241" spans="1:24" ht="15" customHeight="1">
      <c r="A241" s="36" t="s">
        <v>238</v>
      </c>
      <c r="B241" s="60">
        <f>'Расчет субсидий'!AG241</f>
        <v>-42.463636363636361</v>
      </c>
      <c r="C241" s="62">
        <f>'Расчет субсидий'!D241-1</f>
        <v>-1</v>
      </c>
      <c r="D241" s="62">
        <f>C241*'Расчет субсидий'!E241</f>
        <v>0</v>
      </c>
      <c r="E241" s="63">
        <f t="shared" si="90"/>
        <v>0</v>
      </c>
      <c r="F241" s="30" t="s">
        <v>376</v>
      </c>
      <c r="G241" s="30" t="s">
        <v>376</v>
      </c>
      <c r="H241" s="30" t="s">
        <v>376</v>
      </c>
      <c r="I241" s="30" t="s">
        <v>376</v>
      </c>
      <c r="J241" s="30" t="s">
        <v>376</v>
      </c>
      <c r="K241" s="30" t="s">
        <v>376</v>
      </c>
      <c r="L241" s="62">
        <f>'Расчет субсидий'!P241-1</f>
        <v>-0.89399293286219084</v>
      </c>
      <c r="M241" s="62">
        <f>L241*'Расчет субсидий'!Q241</f>
        <v>-17.879858657243815</v>
      </c>
      <c r="N241" s="63">
        <f t="shared" si="91"/>
        <v>-16.904695093007579</v>
      </c>
      <c r="O241" s="62">
        <f>'Расчет субсидий'!R241-1</f>
        <v>0</v>
      </c>
      <c r="P241" s="62">
        <f>O241*'Расчет субсидий'!S241</f>
        <v>0</v>
      </c>
      <c r="Q241" s="63">
        <f t="shared" si="92"/>
        <v>0</v>
      </c>
      <c r="R241" s="62">
        <f>'Расчет субсидий'!V241-1</f>
        <v>-7.6666666666666661E-2</v>
      </c>
      <c r="S241" s="62">
        <f>R241*'Расчет субсидий'!W241</f>
        <v>-1.5333333333333332</v>
      </c>
      <c r="T241" s="63">
        <f t="shared" si="93"/>
        <v>-1.4497056700973165</v>
      </c>
      <c r="U241" s="62">
        <f>'Расчет субсидий'!Z241-1</f>
        <v>-0.85</v>
      </c>
      <c r="V241" s="62">
        <f>U241*'Расчет субсидий'!AA241</f>
        <v>-25.5</v>
      </c>
      <c r="W241" s="63">
        <f t="shared" si="94"/>
        <v>-24.109235600531466</v>
      </c>
      <c r="X241" s="62">
        <f t="shared" si="95"/>
        <v>-44.913191990577147</v>
      </c>
    </row>
    <row r="242" spans="1:24" ht="15" customHeight="1">
      <c r="A242" s="36" t="s">
        <v>239</v>
      </c>
      <c r="B242" s="60">
        <f>'Расчет субсидий'!AG242</f>
        <v>-46.73636363636362</v>
      </c>
      <c r="C242" s="62">
        <f>'Расчет субсидий'!D242-1</f>
        <v>-1</v>
      </c>
      <c r="D242" s="62">
        <f>C242*'Расчет субсидий'!E242</f>
        <v>0</v>
      </c>
      <c r="E242" s="63">
        <f t="shared" si="90"/>
        <v>0</v>
      </c>
      <c r="F242" s="30" t="s">
        <v>376</v>
      </c>
      <c r="G242" s="30" t="s">
        <v>376</v>
      </c>
      <c r="H242" s="30" t="s">
        <v>376</v>
      </c>
      <c r="I242" s="30" t="s">
        <v>376</v>
      </c>
      <c r="J242" s="30" t="s">
        <v>376</v>
      </c>
      <c r="K242" s="30" t="s">
        <v>376</v>
      </c>
      <c r="L242" s="62">
        <f>'Расчет субсидий'!P242-1</f>
        <v>-0.7989864864864864</v>
      </c>
      <c r="M242" s="62">
        <f>L242*'Расчет субсидий'!Q242</f>
        <v>-15.979729729729728</v>
      </c>
      <c r="N242" s="63">
        <f t="shared" si="91"/>
        <v>-32.07029349402967</v>
      </c>
      <c r="O242" s="62">
        <f>'Расчет субсидий'!R242-1</f>
        <v>0</v>
      </c>
      <c r="P242" s="62">
        <f>O242*'Расчет субсидий'!S242</f>
        <v>0</v>
      </c>
      <c r="Q242" s="63">
        <f t="shared" si="92"/>
        <v>0</v>
      </c>
      <c r="R242" s="62">
        <f>'Расчет субсидий'!V242-1</f>
        <v>0.18461538461538463</v>
      </c>
      <c r="S242" s="62">
        <f>R242*'Расчет субсидий'!W242</f>
        <v>3.6923076923076925</v>
      </c>
      <c r="T242" s="63">
        <f t="shared" si="93"/>
        <v>7.4102249140213639</v>
      </c>
      <c r="U242" s="62">
        <f>'Расчет субсидий'!Z242-1</f>
        <v>-0.3666666666666667</v>
      </c>
      <c r="V242" s="62">
        <f>U242*'Расчет субсидий'!AA242</f>
        <v>-11</v>
      </c>
      <c r="W242" s="63">
        <f t="shared" si="94"/>
        <v>-22.07629505635531</v>
      </c>
      <c r="X242" s="62">
        <f t="shared" si="95"/>
        <v>-23.287422037422036</v>
      </c>
    </row>
    <row r="243" spans="1:24" ht="15" customHeight="1">
      <c r="A243" s="36" t="s">
        <v>240</v>
      </c>
      <c r="B243" s="60">
        <f>'Расчет субсидий'!AG243</f>
        <v>59.75454545454545</v>
      </c>
      <c r="C243" s="62">
        <f>'Расчет субсидий'!D243-1</f>
        <v>0.43482142857142847</v>
      </c>
      <c r="D243" s="62">
        <f>C243*'Расчет субсидий'!E243</f>
        <v>4.3482142857142847</v>
      </c>
      <c r="E243" s="63">
        <f t="shared" si="90"/>
        <v>11.538104248356763</v>
      </c>
      <c r="F243" s="30" t="s">
        <v>376</v>
      </c>
      <c r="G243" s="30" t="s">
        <v>376</v>
      </c>
      <c r="H243" s="30" t="s">
        <v>376</v>
      </c>
      <c r="I243" s="30" t="s">
        <v>376</v>
      </c>
      <c r="J243" s="30" t="s">
        <v>376</v>
      </c>
      <c r="K243" s="30" t="s">
        <v>376</v>
      </c>
      <c r="L243" s="62">
        <f>'Расчет субсидий'!P243-1</f>
        <v>-0.69166666666666665</v>
      </c>
      <c r="M243" s="62">
        <f>L243*'Расчет субсидий'!Q243</f>
        <v>-13.833333333333332</v>
      </c>
      <c r="N243" s="63">
        <f t="shared" si="91"/>
        <v>-36.707124261712693</v>
      </c>
      <c r="O243" s="62">
        <f>'Расчет субсидий'!R243-1</f>
        <v>0</v>
      </c>
      <c r="P243" s="62">
        <f>O243*'Расчет субсидий'!S243</f>
        <v>0</v>
      </c>
      <c r="Q243" s="63">
        <f t="shared" si="92"/>
        <v>0</v>
      </c>
      <c r="R243" s="62">
        <f>'Расчет субсидий'!V243-1</f>
        <v>-0.25806451612903225</v>
      </c>
      <c r="S243" s="62">
        <f>R243*'Расчет субсидий'!W243</f>
        <v>-3.870967741935484</v>
      </c>
      <c r="T243" s="63">
        <f t="shared" si="93"/>
        <v>-10.271717632504137</v>
      </c>
      <c r="U243" s="62">
        <f>'Расчет субсидий'!Z243-1</f>
        <v>1.0249999999999999</v>
      </c>
      <c r="V243" s="62">
        <f>U243*'Расчет субсидий'!AA243</f>
        <v>35.875</v>
      </c>
      <c r="W243" s="63">
        <f t="shared" si="94"/>
        <v>95.195283100405504</v>
      </c>
      <c r="X243" s="62">
        <f t="shared" si="95"/>
        <v>22.518913210445469</v>
      </c>
    </row>
    <row r="244" spans="1:24" ht="15" customHeight="1">
      <c r="A244" s="36" t="s">
        <v>241</v>
      </c>
      <c r="B244" s="60">
        <f>'Расчет субсидий'!AG244</f>
        <v>-10.090909090909093</v>
      </c>
      <c r="C244" s="62">
        <f>'Расчет субсидий'!D244-1</f>
        <v>0.53610227272727284</v>
      </c>
      <c r="D244" s="62">
        <f>C244*'Расчет субсидий'!E244</f>
        <v>5.3610227272727284</v>
      </c>
      <c r="E244" s="63">
        <f t="shared" si="90"/>
        <v>7.423155500095441</v>
      </c>
      <c r="F244" s="30" t="s">
        <v>376</v>
      </c>
      <c r="G244" s="30" t="s">
        <v>376</v>
      </c>
      <c r="H244" s="30" t="s">
        <v>376</v>
      </c>
      <c r="I244" s="30" t="s">
        <v>376</v>
      </c>
      <c r="J244" s="30" t="s">
        <v>376</v>
      </c>
      <c r="K244" s="30" t="s">
        <v>376</v>
      </c>
      <c r="L244" s="62">
        <f>'Расчет субсидий'!P244-1</f>
        <v>-0.40443521113151037</v>
      </c>
      <c r="M244" s="62">
        <f>L244*'Расчет субсидий'!Q244</f>
        <v>-8.0887042226302075</v>
      </c>
      <c r="N244" s="63">
        <f t="shared" si="91"/>
        <v>-11.200047508361939</v>
      </c>
      <c r="O244" s="62">
        <f>'Расчет субсидий'!R244-1</f>
        <v>0</v>
      </c>
      <c r="P244" s="62">
        <f>O244*'Расчет субсидий'!S244</f>
        <v>0</v>
      </c>
      <c r="Q244" s="63">
        <f t="shared" si="92"/>
        <v>0</v>
      </c>
      <c r="R244" s="62">
        <f>'Расчет субсидий'!V244-1</f>
        <v>0.14400000000000013</v>
      </c>
      <c r="S244" s="62">
        <f>R244*'Расчет субсидий'!W244</f>
        <v>1.4400000000000013</v>
      </c>
      <c r="T244" s="63">
        <f t="shared" si="93"/>
        <v>1.9939001313608218</v>
      </c>
      <c r="U244" s="62">
        <f>'Расчет субсидий'!Z244-1</f>
        <v>-0.15000000000000002</v>
      </c>
      <c r="V244" s="62">
        <f>U244*'Расчет субсидий'!AA244</f>
        <v>-6.0000000000000009</v>
      </c>
      <c r="W244" s="63">
        <f t="shared" si="94"/>
        <v>-8.3079172140034174</v>
      </c>
      <c r="X244" s="62">
        <f t="shared" si="95"/>
        <v>-7.2876814953574787</v>
      </c>
    </row>
    <row r="245" spans="1:24" ht="15" customHeight="1">
      <c r="A245" s="35" t="s">
        <v>242</v>
      </c>
      <c r="B245" s="64"/>
      <c r="C245" s="65"/>
      <c r="D245" s="65"/>
      <c r="E245" s="66"/>
      <c r="F245" s="65"/>
      <c r="G245" s="65"/>
      <c r="H245" s="66"/>
      <c r="I245" s="66"/>
      <c r="J245" s="66"/>
      <c r="K245" s="66"/>
      <c r="L245" s="65"/>
      <c r="M245" s="65"/>
      <c r="N245" s="66"/>
      <c r="O245" s="65"/>
      <c r="P245" s="65"/>
      <c r="Q245" s="66"/>
      <c r="R245" s="65"/>
      <c r="S245" s="65"/>
      <c r="T245" s="66"/>
      <c r="U245" s="65"/>
      <c r="V245" s="65"/>
      <c r="W245" s="66"/>
      <c r="X245" s="66"/>
    </row>
    <row r="246" spans="1:24" ht="15" customHeight="1">
      <c r="A246" s="36" t="s">
        <v>243</v>
      </c>
      <c r="B246" s="60">
        <f>'Расчет субсидий'!AG246</f>
        <v>41.990909090909099</v>
      </c>
      <c r="C246" s="62">
        <f>'Расчет субсидий'!D246-1</f>
        <v>7.6474400518470542E-2</v>
      </c>
      <c r="D246" s="62">
        <f>C246*'Расчет субсидий'!E246</f>
        <v>0.76474400518470542</v>
      </c>
      <c r="E246" s="63">
        <f t="shared" ref="E246:E260" si="96">$B246*D246/$X246</f>
        <v>1.6987178073430285</v>
      </c>
      <c r="F246" s="30" t="s">
        <v>376</v>
      </c>
      <c r="G246" s="30" t="s">
        <v>376</v>
      </c>
      <c r="H246" s="30" t="s">
        <v>376</v>
      </c>
      <c r="I246" s="30" t="s">
        <v>376</v>
      </c>
      <c r="J246" s="30" t="s">
        <v>376</v>
      </c>
      <c r="K246" s="30" t="s">
        <v>376</v>
      </c>
      <c r="L246" s="62">
        <f>'Расчет субсидий'!P246-1</f>
        <v>-0.71155378486055776</v>
      </c>
      <c r="M246" s="62">
        <f>L246*'Расчет субсидий'!Q246</f>
        <v>-14.231075697211155</v>
      </c>
      <c r="N246" s="63">
        <f t="shared" ref="N246:N260" si="97">$B246*M246/$X246</f>
        <v>-31.611338618679866</v>
      </c>
      <c r="O246" s="62">
        <f>'Расчет субсидий'!R246-1</f>
        <v>0</v>
      </c>
      <c r="P246" s="62">
        <f>O246*'Расчет субсидий'!S246</f>
        <v>0</v>
      </c>
      <c r="Q246" s="63">
        <f t="shared" ref="Q246:Q260" si="98">$B246*P246/$X246</f>
        <v>0</v>
      </c>
      <c r="R246" s="62">
        <f>'Расчет субсидий'!V246-1</f>
        <v>0.88166666666666682</v>
      </c>
      <c r="S246" s="62">
        <f>R246*'Расчет субсидий'!W246</f>
        <v>17.633333333333336</v>
      </c>
      <c r="T246" s="63">
        <f t="shared" ref="T246:T260" si="99">$B246*S246/$X246</f>
        <v>39.168737686167361</v>
      </c>
      <c r="U246" s="62">
        <f>'Расчет субсидий'!Z246-1</f>
        <v>0.49122807017543857</v>
      </c>
      <c r="V246" s="62">
        <f>U246*'Расчет субсидий'!AA246</f>
        <v>14.736842105263158</v>
      </c>
      <c r="W246" s="63">
        <f t="shared" ref="W246:W260" si="100">$B246*V246/$X246</f>
        <v>32.734792216078574</v>
      </c>
      <c r="X246" s="62">
        <f t="shared" si="95"/>
        <v>18.903843746570043</v>
      </c>
    </row>
    <row r="247" spans="1:24" ht="15" customHeight="1">
      <c r="A247" s="36" t="s">
        <v>244</v>
      </c>
      <c r="B247" s="60">
        <f>'Расчет субсидий'!AG247</f>
        <v>-0.75454545454547883</v>
      </c>
      <c r="C247" s="62">
        <f>'Расчет субсидий'!D247-1</f>
        <v>-1</v>
      </c>
      <c r="D247" s="62">
        <f>C247*'Расчет субсидий'!E247</f>
        <v>0</v>
      </c>
      <c r="E247" s="63">
        <f t="shared" si="96"/>
        <v>0</v>
      </c>
      <c r="F247" s="30" t="s">
        <v>376</v>
      </c>
      <c r="G247" s="30" t="s">
        <v>376</v>
      </c>
      <c r="H247" s="30" t="s">
        <v>376</v>
      </c>
      <c r="I247" s="30" t="s">
        <v>376</v>
      </c>
      <c r="J247" s="30" t="s">
        <v>376</v>
      </c>
      <c r="K247" s="30" t="s">
        <v>376</v>
      </c>
      <c r="L247" s="62">
        <f>'Расчет субсидий'!P247-1</f>
        <v>-0.18039712716518796</v>
      </c>
      <c r="M247" s="62">
        <f>L247*'Расчет субсидий'!Q247</f>
        <v>-3.6079425433037593</v>
      </c>
      <c r="N247" s="63">
        <f t="shared" si="97"/>
        <v>-6.8777411216768991</v>
      </c>
      <c r="O247" s="62">
        <f>'Расчет субсидий'!R247-1</f>
        <v>0</v>
      </c>
      <c r="P247" s="62">
        <f>O247*'Расчет субсидий'!S247</f>
        <v>0</v>
      </c>
      <c r="Q247" s="63">
        <f t="shared" si="98"/>
        <v>0</v>
      </c>
      <c r="R247" s="62">
        <f>'Расчет субсидий'!V247-1</f>
        <v>0.19999999999999996</v>
      </c>
      <c r="S247" s="62">
        <f>R247*'Расчет субсидий'!W247</f>
        <v>1.9999999999999996</v>
      </c>
      <c r="T247" s="63">
        <f t="shared" si="99"/>
        <v>3.8125557927422062</v>
      </c>
      <c r="U247" s="62">
        <f>'Расчет субсидий'!Z247-1</f>
        <v>3.0303030303030276E-2</v>
      </c>
      <c r="V247" s="62">
        <f>U247*'Расчет субсидий'!AA247</f>
        <v>1.212121212121211</v>
      </c>
      <c r="W247" s="63">
        <f t="shared" si="100"/>
        <v>2.3106398743892145</v>
      </c>
      <c r="X247" s="62">
        <f t="shared" si="95"/>
        <v>-0.3958213311825487</v>
      </c>
    </row>
    <row r="248" spans="1:24" ht="15" customHeight="1">
      <c r="A248" s="36" t="s">
        <v>245</v>
      </c>
      <c r="B248" s="60">
        <f>'Расчет субсидий'!AG248</f>
        <v>-2.1181818181818102</v>
      </c>
      <c r="C248" s="62">
        <f>'Расчет субсидий'!D248-1</f>
        <v>-0.61029986962190352</v>
      </c>
      <c r="D248" s="62">
        <f>C248*'Расчет субсидий'!E248</f>
        <v>-6.1029986962190357</v>
      </c>
      <c r="E248" s="63">
        <f t="shared" si="96"/>
        <v>-6.223429731894818</v>
      </c>
      <c r="F248" s="30" t="s">
        <v>376</v>
      </c>
      <c r="G248" s="30" t="s">
        <v>376</v>
      </c>
      <c r="H248" s="30" t="s">
        <v>376</v>
      </c>
      <c r="I248" s="30" t="s">
        <v>376</v>
      </c>
      <c r="J248" s="30" t="s">
        <v>376</v>
      </c>
      <c r="K248" s="30" t="s">
        <v>376</v>
      </c>
      <c r="L248" s="62">
        <f>'Расчет субсидий'!P248-1</f>
        <v>-0.59236326109391135</v>
      </c>
      <c r="M248" s="62">
        <f>L248*'Расчет субсидий'!Q248</f>
        <v>-11.847265221878228</v>
      </c>
      <c r="N248" s="63">
        <f t="shared" si="97"/>
        <v>-12.081048398250262</v>
      </c>
      <c r="O248" s="62">
        <f>'Расчет субсидий'!R248-1</f>
        <v>0</v>
      </c>
      <c r="P248" s="62">
        <f>O248*'Расчет субсидий'!S248</f>
        <v>0</v>
      </c>
      <c r="Q248" s="63">
        <f t="shared" si="98"/>
        <v>0</v>
      </c>
      <c r="R248" s="62">
        <f>'Расчет субсидий'!V248-1</f>
        <v>0.2870967741935484</v>
      </c>
      <c r="S248" s="62">
        <f>R248*'Расчет субсидий'!W248</f>
        <v>7.17741935483871</v>
      </c>
      <c r="T248" s="63">
        <f t="shared" si="99"/>
        <v>7.3190520323810038</v>
      </c>
      <c r="U248" s="62">
        <f>'Расчет субсидий'!Z248-1</f>
        <v>0.34782608695652195</v>
      </c>
      <c r="V248" s="62">
        <f>U248*'Расчет субсидий'!AA248</f>
        <v>8.6956521739130483</v>
      </c>
      <c r="W248" s="63">
        <f t="shared" si="100"/>
        <v>8.8672442795822661</v>
      </c>
      <c r="X248" s="62">
        <f t="shared" si="95"/>
        <v>-2.0771923893455053</v>
      </c>
    </row>
    <row r="249" spans="1:24" ht="15" customHeight="1">
      <c r="A249" s="36" t="s">
        <v>246</v>
      </c>
      <c r="B249" s="60">
        <f>'Расчет субсидий'!AG249</f>
        <v>11.409090909090907</v>
      </c>
      <c r="C249" s="62">
        <f>'Расчет субсидий'!D249-1</f>
        <v>-1</v>
      </c>
      <c r="D249" s="62">
        <f>C249*'Расчет субсидий'!E249</f>
        <v>0</v>
      </c>
      <c r="E249" s="63">
        <f t="shared" si="96"/>
        <v>0</v>
      </c>
      <c r="F249" s="30" t="s">
        <v>376</v>
      </c>
      <c r="G249" s="30" t="s">
        <v>376</v>
      </c>
      <c r="H249" s="30" t="s">
        <v>376</v>
      </c>
      <c r="I249" s="30" t="s">
        <v>376</v>
      </c>
      <c r="J249" s="30" t="s">
        <v>376</v>
      </c>
      <c r="K249" s="30" t="s">
        <v>376</v>
      </c>
      <c r="L249" s="62">
        <f>'Расчет субсидий'!P249-1</f>
        <v>0.17048145224940803</v>
      </c>
      <c r="M249" s="62">
        <f>L249*'Расчет субсидий'!Q249</f>
        <v>3.4096290449881606</v>
      </c>
      <c r="N249" s="63">
        <f t="shared" si="97"/>
        <v>5.0622152721677489</v>
      </c>
      <c r="O249" s="62">
        <f>'Расчет субсидий'!R249-1</f>
        <v>0</v>
      </c>
      <c r="P249" s="62">
        <f>O249*'Расчет субсидий'!S249</f>
        <v>0</v>
      </c>
      <c r="Q249" s="63">
        <f t="shared" si="98"/>
        <v>0</v>
      </c>
      <c r="R249" s="62">
        <f>'Расчет субсидий'!V249-1</f>
        <v>0.11538461538461542</v>
      </c>
      <c r="S249" s="62">
        <f>R249*'Расчет субсидий'!W249</f>
        <v>2.3076923076923084</v>
      </c>
      <c r="T249" s="63">
        <f t="shared" si="99"/>
        <v>3.4261895031178096</v>
      </c>
      <c r="U249" s="62">
        <f>'Расчет субсидий'!Z249-1</f>
        <v>6.5573770491803351E-2</v>
      </c>
      <c r="V249" s="62">
        <f>U249*'Расчет субсидий'!AA249</f>
        <v>1.9672131147541005</v>
      </c>
      <c r="W249" s="63">
        <f t="shared" si="100"/>
        <v>2.9206861338053485</v>
      </c>
      <c r="X249" s="62">
        <f t="shared" si="95"/>
        <v>7.6845344674345695</v>
      </c>
    </row>
    <row r="250" spans="1:24" ht="15" customHeight="1">
      <c r="A250" s="36" t="s">
        <v>247</v>
      </c>
      <c r="B250" s="60">
        <f>'Расчет субсидий'!AG250</f>
        <v>10.654545454545456</v>
      </c>
      <c r="C250" s="62">
        <f>'Расчет субсидий'!D250-1</f>
        <v>-1</v>
      </c>
      <c r="D250" s="62">
        <f>C250*'Расчет субсидий'!E250</f>
        <v>0</v>
      </c>
      <c r="E250" s="63">
        <f t="shared" si="96"/>
        <v>0</v>
      </c>
      <c r="F250" s="30" t="s">
        <v>376</v>
      </c>
      <c r="G250" s="30" t="s">
        <v>376</v>
      </c>
      <c r="H250" s="30" t="s">
        <v>376</v>
      </c>
      <c r="I250" s="30" t="s">
        <v>376</v>
      </c>
      <c r="J250" s="30" t="s">
        <v>376</v>
      </c>
      <c r="K250" s="30" t="s">
        <v>376</v>
      </c>
      <c r="L250" s="62">
        <f>'Расчет субсидий'!P250-1</f>
        <v>-0.81414558595766651</v>
      </c>
      <c r="M250" s="62">
        <f>L250*'Расчет субсидий'!Q250</f>
        <v>-16.282911719153329</v>
      </c>
      <c r="N250" s="63">
        <f t="shared" si="97"/>
        <v>-6.6173261189654626</v>
      </c>
      <c r="O250" s="62">
        <f>'Расчет субсидий'!R250-1</f>
        <v>0</v>
      </c>
      <c r="P250" s="62">
        <f>O250*'Расчет субсидий'!S250</f>
        <v>0</v>
      </c>
      <c r="Q250" s="63">
        <f t="shared" si="98"/>
        <v>0</v>
      </c>
      <c r="R250" s="62">
        <f>'Расчет субсидий'!V250-1</f>
        <v>0.10000000000000009</v>
      </c>
      <c r="S250" s="62">
        <f>R250*'Расчет субсидий'!W250</f>
        <v>2.5000000000000022</v>
      </c>
      <c r="T250" s="63">
        <f t="shared" si="99"/>
        <v>1.015992445500643</v>
      </c>
      <c r="U250" s="62">
        <f>'Расчет субсидий'!Z250-1</f>
        <v>1.6</v>
      </c>
      <c r="V250" s="62">
        <f>U250*'Расчет субсидий'!AA250</f>
        <v>40</v>
      </c>
      <c r="W250" s="63">
        <f t="shared" si="100"/>
        <v>16.255879128010275</v>
      </c>
      <c r="X250" s="62">
        <f t="shared" si="95"/>
        <v>26.217088280846674</v>
      </c>
    </row>
    <row r="251" spans="1:24" ht="15" customHeight="1">
      <c r="A251" s="36" t="s">
        <v>248</v>
      </c>
      <c r="B251" s="60">
        <f>'Расчет субсидий'!AG251</f>
        <v>13.199999999999989</v>
      </c>
      <c r="C251" s="62">
        <f>'Расчет субсидий'!D251-1</f>
        <v>-1</v>
      </c>
      <c r="D251" s="62">
        <f>C251*'Расчет субсидий'!E251</f>
        <v>0</v>
      </c>
      <c r="E251" s="63">
        <f t="shared" si="96"/>
        <v>0</v>
      </c>
      <c r="F251" s="30" t="s">
        <v>376</v>
      </c>
      <c r="G251" s="30" t="s">
        <v>376</v>
      </c>
      <c r="H251" s="30" t="s">
        <v>376</v>
      </c>
      <c r="I251" s="30" t="s">
        <v>376</v>
      </c>
      <c r="J251" s="30" t="s">
        <v>376</v>
      </c>
      <c r="K251" s="30" t="s">
        <v>376</v>
      </c>
      <c r="L251" s="62">
        <f>'Расчет субсидий'!P251-1</f>
        <v>-0.26847826086956528</v>
      </c>
      <c r="M251" s="62">
        <f>L251*'Расчет субсидий'!Q251</f>
        <v>-5.3695652173913055</v>
      </c>
      <c r="N251" s="63">
        <f t="shared" si="97"/>
        <v>-7.8322999839849796</v>
      </c>
      <c r="O251" s="62">
        <f>'Расчет субсидий'!R251-1</f>
        <v>0</v>
      </c>
      <c r="P251" s="62">
        <f>O251*'Расчет субсидий'!S251</f>
        <v>0</v>
      </c>
      <c r="Q251" s="63">
        <f t="shared" si="98"/>
        <v>0</v>
      </c>
      <c r="R251" s="62">
        <f>'Расчет субсидий'!V251-1</f>
        <v>0.34857142857142875</v>
      </c>
      <c r="S251" s="62">
        <f>R251*'Расчет субсидий'!W251</f>
        <v>13.94285714285715</v>
      </c>
      <c r="T251" s="63">
        <f t="shared" si="99"/>
        <v>20.337706193232492</v>
      </c>
      <c r="U251" s="62">
        <f>'Расчет субсидий'!Z251-1</f>
        <v>4.7619047619047672E-2</v>
      </c>
      <c r="V251" s="62">
        <f>U251*'Расчет субсидий'!AA251</f>
        <v>0.47619047619047672</v>
      </c>
      <c r="W251" s="63">
        <f t="shared" si="100"/>
        <v>0.69459379075247629</v>
      </c>
      <c r="X251" s="62">
        <f t="shared" si="95"/>
        <v>9.0494824016563218</v>
      </c>
    </row>
    <row r="252" spans="1:24" ht="15" customHeight="1">
      <c r="A252" s="36" t="s">
        <v>249</v>
      </c>
      <c r="B252" s="60">
        <f>'Расчет субсидий'!AG252</f>
        <v>40.136363636363626</v>
      </c>
      <c r="C252" s="62">
        <f>'Расчет субсидий'!D252-1</f>
        <v>-1</v>
      </c>
      <c r="D252" s="62">
        <f>C252*'Расчет субсидий'!E252</f>
        <v>0</v>
      </c>
      <c r="E252" s="63">
        <f t="shared" si="96"/>
        <v>0</v>
      </c>
      <c r="F252" s="30" t="s">
        <v>376</v>
      </c>
      <c r="G252" s="30" t="s">
        <v>376</v>
      </c>
      <c r="H252" s="30" t="s">
        <v>376</v>
      </c>
      <c r="I252" s="30" t="s">
        <v>376</v>
      </c>
      <c r="J252" s="30" t="s">
        <v>376</v>
      </c>
      <c r="K252" s="30" t="s">
        <v>376</v>
      </c>
      <c r="L252" s="62">
        <f>'Расчет субсидий'!P252-1</f>
        <v>-0.37518037518037517</v>
      </c>
      <c r="M252" s="62">
        <f>L252*'Расчет субсидий'!Q252</f>
        <v>-7.5036075036075029</v>
      </c>
      <c r="N252" s="63">
        <f t="shared" si="97"/>
        <v>-21.378652077755795</v>
      </c>
      <c r="O252" s="62">
        <f>'Расчет субсидий'!R252-1</f>
        <v>0</v>
      </c>
      <c r="P252" s="62">
        <f>O252*'Расчет субсидий'!S252</f>
        <v>0</v>
      </c>
      <c r="Q252" s="63">
        <f t="shared" si="98"/>
        <v>0</v>
      </c>
      <c r="R252" s="62">
        <f>'Расчет субсидий'!V252-1</f>
        <v>0</v>
      </c>
      <c r="S252" s="62">
        <f>R252*'Расчет субсидий'!W252</f>
        <v>0</v>
      </c>
      <c r="T252" s="63">
        <f t="shared" si="99"/>
        <v>0</v>
      </c>
      <c r="U252" s="62">
        <f>'Расчет субсидий'!Z252-1</f>
        <v>0.86363636363636331</v>
      </c>
      <c r="V252" s="62">
        <f>U252*'Расчет субсидий'!AA252</f>
        <v>21.590909090909083</v>
      </c>
      <c r="W252" s="63">
        <f t="shared" si="100"/>
        <v>61.515015714119421</v>
      </c>
      <c r="X252" s="62">
        <f t="shared" si="95"/>
        <v>14.08730158730158</v>
      </c>
    </row>
    <row r="253" spans="1:24" ht="15" customHeight="1">
      <c r="A253" s="36" t="s">
        <v>250</v>
      </c>
      <c r="B253" s="60">
        <f>'Расчет субсидий'!AG253</f>
        <v>24.436363636363637</v>
      </c>
      <c r="C253" s="62">
        <f>'Расчет субсидий'!D253-1</f>
        <v>-1</v>
      </c>
      <c r="D253" s="62">
        <f>C253*'Расчет субсидий'!E253</f>
        <v>0</v>
      </c>
      <c r="E253" s="63">
        <f t="shared" si="96"/>
        <v>0</v>
      </c>
      <c r="F253" s="30" t="s">
        <v>376</v>
      </c>
      <c r="G253" s="30" t="s">
        <v>376</v>
      </c>
      <c r="H253" s="30" t="s">
        <v>376</v>
      </c>
      <c r="I253" s="30" t="s">
        <v>376</v>
      </c>
      <c r="J253" s="30" t="s">
        <v>376</v>
      </c>
      <c r="K253" s="30" t="s">
        <v>376</v>
      </c>
      <c r="L253" s="62">
        <f>'Расчет субсидий'!P253-1</f>
        <v>-0.44107744107744107</v>
      </c>
      <c r="M253" s="62">
        <f>L253*'Расчет субсидий'!Q253</f>
        <v>-8.8215488215488218</v>
      </c>
      <c r="N253" s="63">
        <f t="shared" si="97"/>
        <v>-15.935298408674621</v>
      </c>
      <c r="O253" s="62">
        <f>'Расчет субсидий'!R253-1</f>
        <v>0</v>
      </c>
      <c r="P253" s="62">
        <f>O253*'Расчет субсидий'!S253</f>
        <v>0</v>
      </c>
      <c r="Q253" s="63">
        <f t="shared" si="98"/>
        <v>0</v>
      </c>
      <c r="R253" s="62">
        <f>'Расчет субсидий'!V253-1</f>
        <v>-0.21718749999999998</v>
      </c>
      <c r="S253" s="62">
        <f>R253*'Расчет субсидий'!W253</f>
        <v>-4.34375</v>
      </c>
      <c r="T253" s="63">
        <f t="shared" si="99"/>
        <v>-7.8465759089374325</v>
      </c>
      <c r="U253" s="62">
        <f>'Расчет субсидий'!Z253-1</f>
        <v>0.88976377952755925</v>
      </c>
      <c r="V253" s="62">
        <f>U253*'Расчет субсидий'!AA253</f>
        <v>26.692913385826778</v>
      </c>
      <c r="W253" s="63">
        <f t="shared" si="100"/>
        <v>48.218237953975688</v>
      </c>
      <c r="X253" s="62">
        <f t="shared" si="95"/>
        <v>13.527614564277956</v>
      </c>
    </row>
    <row r="254" spans="1:24" ht="15" customHeight="1">
      <c r="A254" s="36" t="s">
        <v>251</v>
      </c>
      <c r="B254" s="60">
        <f>'Расчет субсидий'!AG254</f>
        <v>55.381818181818176</v>
      </c>
      <c r="C254" s="62">
        <f>'Расчет субсидий'!D254-1</f>
        <v>5.5471941517953205E-2</v>
      </c>
      <c r="D254" s="62">
        <f>C254*'Расчет субсидий'!E254</f>
        <v>0.55471941517953205</v>
      </c>
      <c r="E254" s="63">
        <f t="shared" si="96"/>
        <v>1.0482266351046063</v>
      </c>
      <c r="F254" s="30" t="s">
        <v>376</v>
      </c>
      <c r="G254" s="30" t="s">
        <v>376</v>
      </c>
      <c r="H254" s="30" t="s">
        <v>376</v>
      </c>
      <c r="I254" s="30" t="s">
        <v>376</v>
      </c>
      <c r="J254" s="30" t="s">
        <v>376</v>
      </c>
      <c r="K254" s="30" t="s">
        <v>376</v>
      </c>
      <c r="L254" s="62">
        <f>'Расчет субсидий'!P254-1</f>
        <v>-0.40698151950718686</v>
      </c>
      <c r="M254" s="62">
        <f>L254*'Расчет субсидий'!Q254</f>
        <v>-8.1396303901437363</v>
      </c>
      <c r="N254" s="63">
        <f t="shared" si="97"/>
        <v>-15.381068593198902</v>
      </c>
      <c r="O254" s="62">
        <f>'Расчет субсидий'!R254-1</f>
        <v>0</v>
      </c>
      <c r="P254" s="62">
        <f>O254*'Расчет субсидий'!S254</f>
        <v>0</v>
      </c>
      <c r="Q254" s="63">
        <f t="shared" si="98"/>
        <v>0</v>
      </c>
      <c r="R254" s="62">
        <f>'Расчет субсидий'!V254-1</f>
        <v>1.0357142857142856</v>
      </c>
      <c r="S254" s="62">
        <f>R254*'Расчет субсидий'!W254</f>
        <v>25.892857142857139</v>
      </c>
      <c r="T254" s="63">
        <f t="shared" si="99"/>
        <v>48.928488481545536</v>
      </c>
      <c r="U254" s="62">
        <f>'Расчет субсидий'!Z254-1</f>
        <v>0.43999999999999995</v>
      </c>
      <c r="V254" s="62">
        <f>U254*'Расчет субсидий'!AA254</f>
        <v>10.999999999999998</v>
      </c>
      <c r="W254" s="63">
        <f t="shared" si="100"/>
        <v>20.786171658366928</v>
      </c>
      <c r="X254" s="62">
        <f t="shared" si="95"/>
        <v>29.307946167892936</v>
      </c>
    </row>
    <row r="255" spans="1:24" ht="15" customHeight="1">
      <c r="A255" s="36" t="s">
        <v>252</v>
      </c>
      <c r="B255" s="60">
        <f>'Расчет субсидий'!AG255</f>
        <v>-22.063636363636363</v>
      </c>
      <c r="C255" s="62">
        <f>'Расчет субсидий'!D255-1</f>
        <v>-1</v>
      </c>
      <c r="D255" s="62">
        <f>C255*'Расчет субсидий'!E255</f>
        <v>0</v>
      </c>
      <c r="E255" s="63">
        <f t="shared" si="96"/>
        <v>0</v>
      </c>
      <c r="F255" s="30" t="s">
        <v>376</v>
      </c>
      <c r="G255" s="30" t="s">
        <v>376</v>
      </c>
      <c r="H255" s="30" t="s">
        <v>376</v>
      </c>
      <c r="I255" s="30" t="s">
        <v>376</v>
      </c>
      <c r="J255" s="30" t="s">
        <v>376</v>
      </c>
      <c r="K255" s="30" t="s">
        <v>376</v>
      </c>
      <c r="L255" s="62">
        <f>'Расчет субсидий'!P255-1</f>
        <v>-0.42325800376647837</v>
      </c>
      <c r="M255" s="62">
        <f>L255*'Расчет субсидий'!Q255</f>
        <v>-8.4651600753295675</v>
      </c>
      <c r="N255" s="63">
        <f t="shared" si="97"/>
        <v>-17.190010305152256</v>
      </c>
      <c r="O255" s="62">
        <f>'Расчет субсидий'!R255-1</f>
        <v>0</v>
      </c>
      <c r="P255" s="62">
        <f>O255*'Расчет субсидий'!S255</f>
        <v>0</v>
      </c>
      <c r="Q255" s="63">
        <f t="shared" si="98"/>
        <v>0</v>
      </c>
      <c r="R255" s="62">
        <f>'Расчет субсидий'!V255-1</f>
        <v>0</v>
      </c>
      <c r="S255" s="62">
        <f>R255*'Расчет субсидий'!W255</f>
        <v>0</v>
      </c>
      <c r="T255" s="63">
        <f t="shared" si="99"/>
        <v>0</v>
      </c>
      <c r="U255" s="62">
        <f>'Расчет субсидий'!Z255-1</f>
        <v>-8.0000000000000071E-2</v>
      </c>
      <c r="V255" s="62">
        <f>U255*'Расчет субсидий'!AA255</f>
        <v>-2.4000000000000021</v>
      </c>
      <c r="W255" s="63">
        <f t="shared" si="100"/>
        <v>-4.8736260584841054</v>
      </c>
      <c r="X255" s="62">
        <f t="shared" si="95"/>
        <v>-10.86516007532957</v>
      </c>
    </row>
    <row r="256" spans="1:24" ht="15" customHeight="1">
      <c r="A256" s="36" t="s">
        <v>253</v>
      </c>
      <c r="B256" s="60">
        <f>'Расчет субсидий'!AG256</f>
        <v>-8.7818181818181813</v>
      </c>
      <c r="C256" s="62">
        <f>'Расчет субсидий'!D256-1</f>
        <v>-9.4786729857819774E-3</v>
      </c>
      <c r="D256" s="62">
        <f>C256*'Расчет субсидий'!E256</f>
        <v>-9.4786729857819774E-2</v>
      </c>
      <c r="E256" s="63">
        <f t="shared" si="96"/>
        <v>-0.12429993711940067</v>
      </c>
      <c r="F256" s="30" t="s">
        <v>376</v>
      </c>
      <c r="G256" s="30" t="s">
        <v>376</v>
      </c>
      <c r="H256" s="30" t="s">
        <v>376</v>
      </c>
      <c r="I256" s="30" t="s">
        <v>376</v>
      </c>
      <c r="J256" s="30" t="s">
        <v>376</v>
      </c>
      <c r="K256" s="30" t="s">
        <v>376</v>
      </c>
      <c r="L256" s="62">
        <f>'Расчет субсидий'!P256-1</f>
        <v>-0.28726684137505787</v>
      </c>
      <c r="M256" s="62">
        <f>L256*'Расчет субсидий'!Q256</f>
        <v>-5.7453368275011574</v>
      </c>
      <c r="N256" s="63">
        <f t="shared" si="97"/>
        <v>-7.5342298173952118</v>
      </c>
      <c r="O256" s="62">
        <f>'Расчет субсидий'!R256-1</f>
        <v>0</v>
      </c>
      <c r="P256" s="62">
        <f>O256*'Расчет субсидий'!S256</f>
        <v>0</v>
      </c>
      <c r="Q256" s="63">
        <f t="shared" si="98"/>
        <v>0</v>
      </c>
      <c r="R256" s="62">
        <f>'Расчет субсидий'!V256-1</f>
        <v>-0.19573170731707323</v>
      </c>
      <c r="S256" s="62">
        <f>R256*'Расчет субсидий'!W256</f>
        <v>-1.9573170731707323</v>
      </c>
      <c r="T256" s="63">
        <f t="shared" si="99"/>
        <v>-2.5667558051933361</v>
      </c>
      <c r="U256" s="62">
        <f>'Расчет субсидий'!Z256-1</f>
        <v>2.751842751842748E-2</v>
      </c>
      <c r="V256" s="62">
        <f>U256*'Расчет субсидий'!AA256</f>
        <v>1.1007371007370992</v>
      </c>
      <c r="W256" s="63">
        <f t="shared" si="100"/>
        <v>1.4434673778897675</v>
      </c>
      <c r="X256" s="62">
        <f t="shared" si="95"/>
        <v>-6.6967035297926101</v>
      </c>
    </row>
    <row r="257" spans="1:24" ht="15" customHeight="1">
      <c r="A257" s="36" t="s">
        <v>254</v>
      </c>
      <c r="B257" s="60">
        <f>'Расчет субсидий'!AG257</f>
        <v>-6.2181818181818187</v>
      </c>
      <c r="C257" s="62">
        <f>'Расчет субсидий'!D257-1</f>
        <v>-1</v>
      </c>
      <c r="D257" s="62">
        <f>C257*'Расчет субсидий'!E257</f>
        <v>0</v>
      </c>
      <c r="E257" s="63">
        <f t="shared" si="96"/>
        <v>0</v>
      </c>
      <c r="F257" s="30" t="s">
        <v>376</v>
      </c>
      <c r="G257" s="30" t="s">
        <v>376</v>
      </c>
      <c r="H257" s="30" t="s">
        <v>376</v>
      </c>
      <c r="I257" s="30" t="s">
        <v>376</v>
      </c>
      <c r="J257" s="30" t="s">
        <v>376</v>
      </c>
      <c r="K257" s="30" t="s">
        <v>376</v>
      </c>
      <c r="L257" s="62">
        <f>'Расчет субсидий'!P257-1</f>
        <v>-0.32455395072217508</v>
      </c>
      <c r="M257" s="62">
        <f>L257*'Расчет субсидий'!Q257</f>
        <v>-6.4910790144435015</v>
      </c>
      <c r="N257" s="63">
        <f t="shared" si="97"/>
        <v>-19.568311589881944</v>
      </c>
      <c r="O257" s="62">
        <f>'Расчет субсидий'!R257-1</f>
        <v>0</v>
      </c>
      <c r="P257" s="62">
        <f>O257*'Расчет субсидий'!S257</f>
        <v>0</v>
      </c>
      <c r="Q257" s="63">
        <f t="shared" si="98"/>
        <v>0</v>
      </c>
      <c r="R257" s="62">
        <f>'Расчет субсидий'!V257-1</f>
        <v>0.13917525773195871</v>
      </c>
      <c r="S257" s="62">
        <f>R257*'Расчет субсидий'!W257</f>
        <v>4.1752577319587614</v>
      </c>
      <c r="T257" s="63">
        <f t="shared" si="99"/>
        <v>12.58692801077194</v>
      </c>
      <c r="U257" s="62">
        <f>'Расчет субсидий'!Z257-1</f>
        <v>1.2658227848101111E-2</v>
      </c>
      <c r="V257" s="62">
        <f>U257*'Расчет субсидий'!AA257</f>
        <v>0.25316455696202222</v>
      </c>
      <c r="W257" s="63">
        <f t="shared" si="100"/>
        <v>0.76320176092818481</v>
      </c>
      <c r="X257" s="62">
        <f t="shared" si="95"/>
        <v>-2.0626567255227179</v>
      </c>
    </row>
    <row r="258" spans="1:24" ht="15" customHeight="1">
      <c r="A258" s="36" t="s">
        <v>255</v>
      </c>
      <c r="B258" s="60">
        <f>'Расчет субсидий'!AG258</f>
        <v>-3.4636363636363683</v>
      </c>
      <c r="C258" s="62">
        <f>'Расчет субсидий'!D258-1</f>
        <v>-1</v>
      </c>
      <c r="D258" s="62">
        <f>C258*'Расчет субсидий'!E258</f>
        <v>0</v>
      </c>
      <c r="E258" s="63">
        <f t="shared" si="96"/>
        <v>0</v>
      </c>
      <c r="F258" s="30" t="s">
        <v>376</v>
      </c>
      <c r="G258" s="30" t="s">
        <v>376</v>
      </c>
      <c r="H258" s="30" t="s">
        <v>376</v>
      </c>
      <c r="I258" s="30" t="s">
        <v>376</v>
      </c>
      <c r="J258" s="30" t="s">
        <v>376</v>
      </c>
      <c r="K258" s="30" t="s">
        <v>376</v>
      </c>
      <c r="L258" s="62">
        <f>'Расчет субсидий'!P258-1</f>
        <v>-0.10591397849462358</v>
      </c>
      <c r="M258" s="62">
        <f>L258*'Расчет субсидий'!Q258</f>
        <v>-2.1182795698924717</v>
      </c>
      <c r="N258" s="63">
        <f t="shared" si="97"/>
        <v>-4.0036500800121964</v>
      </c>
      <c r="O258" s="62">
        <f>'Расчет субсидий'!R258-1</f>
        <v>0</v>
      </c>
      <c r="P258" s="62">
        <f>O258*'Расчет субсидий'!S258</f>
        <v>0</v>
      </c>
      <c r="Q258" s="63">
        <f t="shared" si="98"/>
        <v>0</v>
      </c>
      <c r="R258" s="62">
        <f>'Расчет субсидий'!V258-1</f>
        <v>1.4285714285714235E-2</v>
      </c>
      <c r="S258" s="62">
        <f>R258*'Расчет субсидий'!W258</f>
        <v>0.2857142857142847</v>
      </c>
      <c r="T258" s="63">
        <f t="shared" si="99"/>
        <v>0.54001371637582762</v>
      </c>
      <c r="U258" s="62">
        <f>'Расчет субсидий'!Z258-1</f>
        <v>0</v>
      </c>
      <c r="V258" s="62">
        <f>U258*'Расчет субсидий'!AA258</f>
        <v>0</v>
      </c>
      <c r="W258" s="63">
        <f t="shared" si="100"/>
        <v>0</v>
      </c>
      <c r="X258" s="62">
        <f t="shared" si="95"/>
        <v>-1.832565284178187</v>
      </c>
    </row>
    <row r="259" spans="1:24" ht="15" customHeight="1">
      <c r="A259" s="36" t="s">
        <v>256</v>
      </c>
      <c r="B259" s="60">
        <f>'Расчет субсидий'!AG259</f>
        <v>42.22727272727272</v>
      </c>
      <c r="C259" s="62">
        <f>'Расчет субсидий'!D259-1</f>
        <v>-1</v>
      </c>
      <c r="D259" s="62">
        <f>C259*'Расчет субсидий'!E259</f>
        <v>0</v>
      </c>
      <c r="E259" s="63">
        <f t="shared" si="96"/>
        <v>0</v>
      </c>
      <c r="F259" s="30" t="s">
        <v>376</v>
      </c>
      <c r="G259" s="30" t="s">
        <v>376</v>
      </c>
      <c r="H259" s="30" t="s">
        <v>376</v>
      </c>
      <c r="I259" s="30" t="s">
        <v>376</v>
      </c>
      <c r="J259" s="30" t="s">
        <v>376</v>
      </c>
      <c r="K259" s="30" t="s">
        <v>376</v>
      </c>
      <c r="L259" s="62">
        <f>'Расчет субсидий'!P259-1</f>
        <v>0.2569680489462951</v>
      </c>
      <c r="M259" s="62">
        <f>L259*'Расчет субсидий'!Q259</f>
        <v>5.139360978925902</v>
      </c>
      <c r="N259" s="63">
        <f t="shared" si="97"/>
        <v>4.9447335951237283</v>
      </c>
      <c r="O259" s="62">
        <f>'Расчет субсидий'!R259-1</f>
        <v>0</v>
      </c>
      <c r="P259" s="62">
        <f>O259*'Расчет субсидий'!S259</f>
        <v>0</v>
      </c>
      <c r="Q259" s="63">
        <f t="shared" si="98"/>
        <v>0</v>
      </c>
      <c r="R259" s="62">
        <f>'Расчет субсидий'!V259-1</f>
        <v>0.55000000000000004</v>
      </c>
      <c r="S259" s="62">
        <f>R259*'Расчет субсидий'!W259</f>
        <v>13.750000000000002</v>
      </c>
      <c r="T259" s="63">
        <f t="shared" si="99"/>
        <v>13.229288079149642</v>
      </c>
      <c r="U259" s="62">
        <f>'Расчет субсидий'!Z259-1</f>
        <v>1</v>
      </c>
      <c r="V259" s="62">
        <f>U259*'Расчет субсидий'!AA259</f>
        <v>25</v>
      </c>
      <c r="W259" s="63">
        <f t="shared" si="100"/>
        <v>24.053251052999347</v>
      </c>
      <c r="X259" s="62">
        <f t="shared" si="95"/>
        <v>43.889360978925907</v>
      </c>
    </row>
    <row r="260" spans="1:24" ht="15" customHeight="1">
      <c r="A260" s="36" t="s">
        <v>257</v>
      </c>
      <c r="B260" s="60">
        <f>'Расчет субсидий'!AG260</f>
        <v>0.38181818181818183</v>
      </c>
      <c r="C260" s="62">
        <f>'Расчет субсидий'!D260-1</f>
        <v>-0.16209510682288075</v>
      </c>
      <c r="D260" s="62">
        <f>C260*'Расчет субсидий'!E260</f>
        <v>-1.6209510682288075</v>
      </c>
      <c r="E260" s="63">
        <f t="shared" si="96"/>
        <v>-0.10752329122482082</v>
      </c>
      <c r="F260" s="30" t="s">
        <v>376</v>
      </c>
      <c r="G260" s="30" t="s">
        <v>376</v>
      </c>
      <c r="H260" s="30" t="s">
        <v>376</v>
      </c>
      <c r="I260" s="30" t="s">
        <v>376</v>
      </c>
      <c r="J260" s="30" t="s">
        <v>376</v>
      </c>
      <c r="K260" s="30" t="s">
        <v>376</v>
      </c>
      <c r="L260" s="62">
        <f>'Расчет субсидий'!P260-1</f>
        <v>0.19081141163393855</v>
      </c>
      <c r="M260" s="62">
        <f>L260*'Расчет субсидий'!Q260</f>
        <v>3.8162282326787711</v>
      </c>
      <c r="N260" s="63">
        <f t="shared" si="97"/>
        <v>0.25314361900576604</v>
      </c>
      <c r="O260" s="62">
        <f>'Расчет субсидий'!R260-1</f>
        <v>0</v>
      </c>
      <c r="P260" s="62">
        <f>O260*'Расчет субсидий'!S260</f>
        <v>0</v>
      </c>
      <c r="Q260" s="63">
        <f t="shared" si="98"/>
        <v>0</v>
      </c>
      <c r="R260" s="62">
        <f>'Расчет субсидий'!V260-1</f>
        <v>0.10137614678899087</v>
      </c>
      <c r="S260" s="62">
        <f>R260*'Расчет субсидий'!W260</f>
        <v>3.0412844036697262</v>
      </c>
      <c r="T260" s="63">
        <f t="shared" si="99"/>
        <v>0.20173891429715021</v>
      </c>
      <c r="U260" s="62">
        <f>'Расчет субсидий'!Z260-1</f>
        <v>2.5974025974025983E-2</v>
      </c>
      <c r="V260" s="62">
        <f>U260*'Расчет субсидий'!AA260</f>
        <v>0.51948051948051965</v>
      </c>
      <c r="W260" s="63">
        <f t="shared" si="100"/>
        <v>3.4458939740086375E-2</v>
      </c>
      <c r="X260" s="62">
        <f t="shared" si="95"/>
        <v>5.7560420876002096</v>
      </c>
    </row>
    <row r="261" spans="1:24" ht="15" customHeight="1">
      <c r="A261" s="35" t="s">
        <v>258</v>
      </c>
      <c r="B261" s="64"/>
      <c r="C261" s="65"/>
      <c r="D261" s="65"/>
      <c r="E261" s="66"/>
      <c r="F261" s="65"/>
      <c r="G261" s="65"/>
      <c r="H261" s="66"/>
      <c r="I261" s="66"/>
      <c r="J261" s="66"/>
      <c r="K261" s="66"/>
      <c r="L261" s="65"/>
      <c r="M261" s="65"/>
      <c r="N261" s="66"/>
      <c r="O261" s="65"/>
      <c r="P261" s="65"/>
      <c r="Q261" s="66"/>
      <c r="R261" s="65"/>
      <c r="S261" s="65"/>
      <c r="T261" s="66"/>
      <c r="U261" s="65"/>
      <c r="V261" s="65"/>
      <c r="W261" s="66"/>
      <c r="X261" s="66"/>
    </row>
    <row r="262" spans="1:24" ht="15" customHeight="1">
      <c r="A262" s="36" t="s">
        <v>259</v>
      </c>
      <c r="B262" s="60">
        <f>'Расчет субсидий'!AG262</f>
        <v>44.963636363636397</v>
      </c>
      <c r="C262" s="62">
        <f>'Расчет субсидий'!D262-1</f>
        <v>-1</v>
      </c>
      <c r="D262" s="62">
        <f>C262*'Расчет субсидий'!E262</f>
        <v>0</v>
      </c>
      <c r="E262" s="63">
        <f t="shared" ref="E262:E268" si="101">$B262*D262/$X262</f>
        <v>0</v>
      </c>
      <c r="F262" s="30" t="s">
        <v>376</v>
      </c>
      <c r="G262" s="30" t="s">
        <v>376</v>
      </c>
      <c r="H262" s="30" t="s">
        <v>376</v>
      </c>
      <c r="I262" s="30" t="s">
        <v>376</v>
      </c>
      <c r="J262" s="30" t="s">
        <v>376</v>
      </c>
      <c r="K262" s="30" t="s">
        <v>376</v>
      </c>
      <c r="L262" s="62">
        <f>'Расчет субсидий'!P262-1</f>
        <v>0.59582198001816522</v>
      </c>
      <c r="M262" s="62">
        <f>L262*'Расчет субсидий'!Q262</f>
        <v>11.916439600363304</v>
      </c>
      <c r="N262" s="63">
        <f t="shared" ref="N262:N268" si="102">$B262*M262/$X262</f>
        <v>20.075803021045239</v>
      </c>
      <c r="O262" s="62">
        <f>'Расчет субсидий'!R262-1</f>
        <v>0</v>
      </c>
      <c r="P262" s="62">
        <f>O262*'Расчет субсидий'!S262</f>
        <v>0</v>
      </c>
      <c r="Q262" s="63">
        <f t="shared" ref="Q262:Q268" si="103">$B262*P262/$X262</f>
        <v>0</v>
      </c>
      <c r="R262" s="62">
        <f>'Расчет субсидий'!V262-1</f>
        <v>0.59090909090909083</v>
      </c>
      <c r="S262" s="62">
        <f>R262*'Расчет субсидий'!W262</f>
        <v>14.77272727272727</v>
      </c>
      <c r="T262" s="63">
        <f t="shared" ref="T262:T268" si="104">$B262*S262/$X262</f>
        <v>24.887833342591161</v>
      </c>
      <c r="U262" s="62">
        <f>'Расчет субсидий'!Z262-1</f>
        <v>0</v>
      </c>
      <c r="V262" s="62">
        <f>U262*'Расчет субсидий'!AA262</f>
        <v>0</v>
      </c>
      <c r="W262" s="63">
        <f t="shared" ref="W262:W268" si="105">$B262*V262/$X262</f>
        <v>0</v>
      </c>
      <c r="X262" s="62">
        <f t="shared" si="95"/>
        <v>26.689166873090574</v>
      </c>
    </row>
    <row r="263" spans="1:24" ht="15" customHeight="1">
      <c r="A263" s="36" t="s">
        <v>260</v>
      </c>
      <c r="B263" s="60">
        <f>'Расчет субсидий'!AG263</f>
        <v>-9.4727272727272691</v>
      </c>
      <c r="C263" s="62">
        <f>'Расчет субсидий'!D263-1</f>
        <v>-1</v>
      </c>
      <c r="D263" s="62">
        <f>C263*'Расчет субсидий'!E263</f>
        <v>0</v>
      </c>
      <c r="E263" s="63">
        <f t="shared" si="101"/>
        <v>0</v>
      </c>
      <c r="F263" s="30" t="s">
        <v>376</v>
      </c>
      <c r="G263" s="30" t="s">
        <v>376</v>
      </c>
      <c r="H263" s="30" t="s">
        <v>376</v>
      </c>
      <c r="I263" s="30" t="s">
        <v>376</v>
      </c>
      <c r="J263" s="30" t="s">
        <v>376</v>
      </c>
      <c r="K263" s="30" t="s">
        <v>376</v>
      </c>
      <c r="L263" s="62">
        <f>'Расчет субсидий'!P263-1</f>
        <v>-0.60424028268551244</v>
      </c>
      <c r="M263" s="62">
        <f>L263*'Расчет субсидий'!Q263</f>
        <v>-12.084805653710248</v>
      </c>
      <c r="N263" s="63">
        <f t="shared" si="102"/>
        <v>-10.815131788591977</v>
      </c>
      <c r="O263" s="62">
        <f>'Расчет субсидий'!R263-1</f>
        <v>0</v>
      </c>
      <c r="P263" s="62">
        <f>O263*'Расчет субсидий'!S263</f>
        <v>0</v>
      </c>
      <c r="Q263" s="63">
        <f t="shared" si="103"/>
        <v>0</v>
      </c>
      <c r="R263" s="62">
        <f>'Расчет субсидий'!V263-1</f>
        <v>0.10000000000000009</v>
      </c>
      <c r="S263" s="62">
        <f>R263*'Расчет субсидий'!W263</f>
        <v>1.5000000000000013</v>
      </c>
      <c r="T263" s="63">
        <f t="shared" si="104"/>
        <v>1.3424045158647069</v>
      </c>
      <c r="U263" s="62">
        <f>'Расчет субсидий'!Z263-1</f>
        <v>0</v>
      </c>
      <c r="V263" s="62">
        <f>U263*'Расчет субсидий'!AA263</f>
        <v>0</v>
      </c>
      <c r="W263" s="63">
        <f t="shared" si="105"/>
        <v>0</v>
      </c>
      <c r="X263" s="62">
        <f t="shared" si="95"/>
        <v>-10.584805653710246</v>
      </c>
    </row>
    <row r="264" spans="1:24" ht="15" customHeight="1">
      <c r="A264" s="36" t="s">
        <v>261</v>
      </c>
      <c r="B264" s="60">
        <f>'Расчет субсидий'!AG264</f>
        <v>-28.5</v>
      </c>
      <c r="C264" s="62">
        <f>'Расчет субсидий'!D264-1</f>
        <v>-1</v>
      </c>
      <c r="D264" s="62">
        <f>C264*'Расчет субсидий'!E264</f>
        <v>0</v>
      </c>
      <c r="E264" s="63">
        <f t="shared" si="101"/>
        <v>0</v>
      </c>
      <c r="F264" s="30" t="s">
        <v>376</v>
      </c>
      <c r="G264" s="30" t="s">
        <v>376</v>
      </c>
      <c r="H264" s="30" t="s">
        <v>376</v>
      </c>
      <c r="I264" s="30" t="s">
        <v>376</v>
      </c>
      <c r="J264" s="30" t="s">
        <v>376</v>
      </c>
      <c r="K264" s="30" t="s">
        <v>376</v>
      </c>
      <c r="L264" s="62">
        <f>'Расчет субсидий'!P264-1</f>
        <v>-0.44654545454545458</v>
      </c>
      <c r="M264" s="62">
        <f>L264*'Расчет субсидий'!Q264</f>
        <v>-8.9309090909090916</v>
      </c>
      <c r="N264" s="63">
        <f t="shared" si="102"/>
        <v>-31.949660107917786</v>
      </c>
      <c r="O264" s="62">
        <f>'Расчет субсидий'!R264-1</f>
        <v>0</v>
      </c>
      <c r="P264" s="62">
        <f>O264*'Расчет субсидий'!S264</f>
        <v>0</v>
      </c>
      <c r="Q264" s="63">
        <f t="shared" si="103"/>
        <v>0</v>
      </c>
      <c r="R264" s="62">
        <f>'Расчет субсидий'!V264-1</f>
        <v>1.0000000000000009E-2</v>
      </c>
      <c r="S264" s="62">
        <f>R264*'Расчет субсидий'!W264</f>
        <v>0.25000000000000022</v>
      </c>
      <c r="T264" s="63">
        <f t="shared" si="104"/>
        <v>0.89435632427497946</v>
      </c>
      <c r="U264" s="62">
        <f>'Расчет субсидий'!Z264-1</f>
        <v>2.8571428571428692E-2</v>
      </c>
      <c r="V264" s="62">
        <f>U264*'Расчет субсидий'!AA264</f>
        <v>0.7142857142857173</v>
      </c>
      <c r="W264" s="63">
        <f t="shared" si="105"/>
        <v>2.555303783642807</v>
      </c>
      <c r="X264" s="62">
        <f t="shared" si="95"/>
        <v>-7.9666233766233745</v>
      </c>
    </row>
    <row r="265" spans="1:24" ht="15" customHeight="1">
      <c r="A265" s="36" t="s">
        <v>262</v>
      </c>
      <c r="B265" s="60">
        <f>'Расчет субсидий'!AG265</f>
        <v>106.60000000000002</v>
      </c>
      <c r="C265" s="62">
        <f>'Расчет субсидий'!D265-1</f>
        <v>-1.7727009832273044E-2</v>
      </c>
      <c r="D265" s="62">
        <f>C265*'Расчет субсидий'!E265</f>
        <v>-0.17727009832273044</v>
      </c>
      <c r="E265" s="63">
        <f t="shared" si="101"/>
        <v>-0.99067962730009185</v>
      </c>
      <c r="F265" s="30" t="s">
        <v>376</v>
      </c>
      <c r="G265" s="30" t="s">
        <v>376</v>
      </c>
      <c r="H265" s="30" t="s">
        <v>376</v>
      </c>
      <c r="I265" s="30" t="s">
        <v>376</v>
      </c>
      <c r="J265" s="30" t="s">
        <v>376</v>
      </c>
      <c r="K265" s="30" t="s">
        <v>376</v>
      </c>
      <c r="L265" s="62">
        <f>'Расчет субсидий'!P265-1</f>
        <v>0.63629710940358564</v>
      </c>
      <c r="M265" s="62">
        <f>L265*'Расчет субсидий'!Q265</f>
        <v>12.725942188071713</v>
      </c>
      <c r="N265" s="63">
        <f t="shared" si="102"/>
        <v>71.119335879021321</v>
      </c>
      <c r="O265" s="62">
        <f>'Расчет субсидий'!R265-1</f>
        <v>0</v>
      </c>
      <c r="P265" s="62">
        <f>O265*'Расчет субсидий'!S265</f>
        <v>0</v>
      </c>
      <c r="Q265" s="63">
        <f t="shared" si="103"/>
        <v>0</v>
      </c>
      <c r="R265" s="62">
        <f>'Расчет субсидий'!V265-1</f>
        <v>1.9277108433734869E-2</v>
      </c>
      <c r="S265" s="62">
        <f>R265*'Расчет субсидий'!W265</f>
        <v>0.19277108433734869</v>
      </c>
      <c r="T265" s="63">
        <f t="shared" si="104"/>
        <v>1.0773073845645378</v>
      </c>
      <c r="U265" s="62">
        <f>'Расчет субсидий'!Z265-1</f>
        <v>0.15833333333333344</v>
      </c>
      <c r="V265" s="62">
        <f>U265*'Расчет субсидий'!AA265</f>
        <v>6.3333333333333375</v>
      </c>
      <c r="W265" s="63">
        <f t="shared" si="105"/>
        <v>35.394036363714235</v>
      </c>
      <c r="X265" s="62">
        <f t="shared" si="95"/>
        <v>19.074776507419671</v>
      </c>
    </row>
    <row r="266" spans="1:24" ht="15" customHeight="1">
      <c r="A266" s="36" t="s">
        <v>263</v>
      </c>
      <c r="B266" s="60">
        <f>'Расчет субсидий'!AG266</f>
        <v>24.236363636363649</v>
      </c>
      <c r="C266" s="62">
        <f>'Расчет субсидий'!D266-1</f>
        <v>0.27153846153846151</v>
      </c>
      <c r="D266" s="62">
        <f>C266*'Расчет субсидий'!E266</f>
        <v>2.7153846153846151</v>
      </c>
      <c r="E266" s="63">
        <f t="shared" si="101"/>
        <v>11.508520237837001</v>
      </c>
      <c r="F266" s="30" t="s">
        <v>376</v>
      </c>
      <c r="G266" s="30" t="s">
        <v>376</v>
      </c>
      <c r="H266" s="30" t="s">
        <v>376</v>
      </c>
      <c r="I266" s="30" t="s">
        <v>376</v>
      </c>
      <c r="J266" s="30" t="s">
        <v>376</v>
      </c>
      <c r="K266" s="30" t="s">
        <v>376</v>
      </c>
      <c r="L266" s="62">
        <f>'Расчет субсидий'!P266-1</f>
        <v>-0.60372204200102453</v>
      </c>
      <c r="M266" s="62">
        <f>L266*'Расчет субсидий'!Q266</f>
        <v>-12.07444084002049</v>
      </c>
      <c r="N266" s="63">
        <f t="shared" si="102"/>
        <v>-51.174682945700802</v>
      </c>
      <c r="O266" s="62">
        <f>'Расчет субсидий'!R266-1</f>
        <v>0</v>
      </c>
      <c r="P266" s="62">
        <f>O266*'Расчет субсидий'!S266</f>
        <v>0</v>
      </c>
      <c r="Q266" s="63">
        <f t="shared" si="103"/>
        <v>0</v>
      </c>
      <c r="R266" s="62">
        <f>'Расчет субсидий'!V266-1</f>
        <v>0.4744186046511627</v>
      </c>
      <c r="S266" s="62">
        <f>R266*'Расчет субсидий'!W266</f>
        <v>4.7441860465116275</v>
      </c>
      <c r="T266" s="63">
        <f t="shared" si="104"/>
        <v>20.107118829134809</v>
      </c>
      <c r="U266" s="62">
        <f>'Расчет субсидий'!Z266-1</f>
        <v>0.2583333333333333</v>
      </c>
      <c r="V266" s="62">
        <f>U266*'Расчет субсидий'!AA266</f>
        <v>10.333333333333332</v>
      </c>
      <c r="W266" s="63">
        <f t="shared" si="105"/>
        <v>43.795407515092649</v>
      </c>
      <c r="X266" s="62">
        <f t="shared" si="95"/>
        <v>5.7184631552090845</v>
      </c>
    </row>
    <row r="267" spans="1:24" ht="15" customHeight="1">
      <c r="A267" s="36" t="s">
        <v>264</v>
      </c>
      <c r="B267" s="60">
        <f>'Расчет субсидий'!AG267</f>
        <v>61.227272727272748</v>
      </c>
      <c r="C267" s="62">
        <f>'Расчет субсидий'!D267-1</f>
        <v>-9.6899999999999986E-2</v>
      </c>
      <c r="D267" s="62">
        <f>C267*'Расчет субсидий'!E267</f>
        <v>-0.96899999999999986</v>
      </c>
      <c r="E267" s="63">
        <f t="shared" si="101"/>
        <v>-5.4207502855887446</v>
      </c>
      <c r="F267" s="30" t="s">
        <v>376</v>
      </c>
      <c r="G267" s="30" t="s">
        <v>376</v>
      </c>
      <c r="H267" s="30" t="s">
        <v>376</v>
      </c>
      <c r="I267" s="30" t="s">
        <v>376</v>
      </c>
      <c r="J267" s="30" t="s">
        <v>376</v>
      </c>
      <c r="K267" s="30" t="s">
        <v>376</v>
      </c>
      <c r="L267" s="62">
        <f>'Расчет субсидий'!P267-1</f>
        <v>0.44228274967574577</v>
      </c>
      <c r="M267" s="62">
        <f>L267*'Расчет субсидий'!Q267</f>
        <v>8.8456549935149162</v>
      </c>
      <c r="N267" s="63">
        <f t="shared" si="102"/>
        <v>49.484093738199675</v>
      </c>
      <c r="O267" s="62">
        <f>'Расчет субсидий'!R267-1</f>
        <v>0</v>
      </c>
      <c r="P267" s="62">
        <f>O267*'Расчет субсидий'!S267</f>
        <v>0</v>
      </c>
      <c r="Q267" s="63">
        <f t="shared" si="103"/>
        <v>0</v>
      </c>
      <c r="R267" s="62">
        <f>'Расчет субсидий'!V267-1</f>
        <v>7.2727272727272751E-2</v>
      </c>
      <c r="S267" s="62">
        <f>R267*'Расчет субсидий'!W267</f>
        <v>1.8181818181818188</v>
      </c>
      <c r="T267" s="63">
        <f t="shared" si="104"/>
        <v>10.171217347947737</v>
      </c>
      <c r="U267" s="62">
        <f>'Расчет субсидий'!Z267-1</f>
        <v>5.0000000000000044E-2</v>
      </c>
      <c r="V267" s="62">
        <f>U267*'Расчет субсидий'!AA267</f>
        <v>1.2500000000000011</v>
      </c>
      <c r="W267" s="63">
        <f t="shared" si="105"/>
        <v>6.9927119267140734</v>
      </c>
      <c r="X267" s="62">
        <f t="shared" si="95"/>
        <v>10.944836811696737</v>
      </c>
    </row>
    <row r="268" spans="1:24" ht="15" customHeight="1">
      <c r="A268" s="36" t="s">
        <v>265</v>
      </c>
      <c r="B268" s="60">
        <f>'Расчет субсидий'!AG268</f>
        <v>11.127272727272739</v>
      </c>
      <c r="C268" s="62">
        <f>'Расчет субсидий'!D268-1</f>
        <v>4.2599999999999971E-2</v>
      </c>
      <c r="D268" s="62">
        <f>C268*'Расчет субсидий'!E268</f>
        <v>0.42599999999999971</v>
      </c>
      <c r="E268" s="63">
        <f t="shared" si="101"/>
        <v>0.3632597284868912</v>
      </c>
      <c r="F268" s="30" t="s">
        <v>376</v>
      </c>
      <c r="G268" s="30" t="s">
        <v>376</v>
      </c>
      <c r="H268" s="30" t="s">
        <v>376</v>
      </c>
      <c r="I268" s="30" t="s">
        <v>376</v>
      </c>
      <c r="J268" s="30" t="s">
        <v>376</v>
      </c>
      <c r="K268" s="30" t="s">
        <v>376</v>
      </c>
      <c r="L268" s="62">
        <f>'Расчет субсидий'!P268-1</f>
        <v>0.43115577889447243</v>
      </c>
      <c r="M268" s="62">
        <f>L268*'Расчет субсидий'!Q268</f>
        <v>8.6231155778894486</v>
      </c>
      <c r="N268" s="63">
        <f t="shared" si="102"/>
        <v>7.3531235294253641</v>
      </c>
      <c r="O268" s="62">
        <f>'Расчет субсидий'!R268-1</f>
        <v>0</v>
      </c>
      <c r="P268" s="62">
        <f>O268*'Расчет субсидий'!S268</f>
        <v>0</v>
      </c>
      <c r="Q268" s="63">
        <f t="shared" si="103"/>
        <v>0</v>
      </c>
      <c r="R268" s="62">
        <f>'Расчет субсидий'!V268-1</f>
        <v>0</v>
      </c>
      <c r="S268" s="62">
        <f>R268*'Расчет субсидий'!W268</f>
        <v>0</v>
      </c>
      <c r="T268" s="63">
        <f t="shared" si="104"/>
        <v>0</v>
      </c>
      <c r="U268" s="62">
        <f>'Расчет субсидий'!Z268-1</f>
        <v>0.11428571428571432</v>
      </c>
      <c r="V268" s="62">
        <f>U268*'Расчет субсидий'!AA268</f>
        <v>4.0000000000000018</v>
      </c>
      <c r="W268" s="63">
        <f t="shared" si="105"/>
        <v>3.4108894693604843</v>
      </c>
      <c r="X268" s="62">
        <f t="shared" si="95"/>
        <v>13.049115577889451</v>
      </c>
    </row>
    <row r="269" spans="1:24" ht="15" customHeight="1">
      <c r="A269" s="35" t="s">
        <v>266</v>
      </c>
      <c r="B269" s="64"/>
      <c r="C269" s="65"/>
      <c r="D269" s="65"/>
      <c r="E269" s="66"/>
      <c r="F269" s="65"/>
      <c r="G269" s="65"/>
      <c r="H269" s="66"/>
      <c r="I269" s="66"/>
      <c r="J269" s="66"/>
      <c r="K269" s="66"/>
      <c r="L269" s="65"/>
      <c r="M269" s="65"/>
      <c r="N269" s="66"/>
      <c r="O269" s="65"/>
      <c r="P269" s="65"/>
      <c r="Q269" s="66"/>
      <c r="R269" s="65"/>
      <c r="S269" s="65"/>
      <c r="T269" s="66"/>
      <c r="U269" s="65"/>
      <c r="V269" s="65"/>
      <c r="W269" s="66"/>
      <c r="X269" s="66"/>
    </row>
    <row r="270" spans="1:24" ht="15" customHeight="1">
      <c r="A270" s="36" t="s">
        <v>267</v>
      </c>
      <c r="B270" s="60">
        <f>'Расчет субсидий'!AG270</f>
        <v>-1.1272727272727252</v>
      </c>
      <c r="C270" s="62">
        <f>'Расчет субсидий'!D270-1</f>
        <v>-1</v>
      </c>
      <c r="D270" s="62">
        <f>C270*'Расчет субсидий'!E270</f>
        <v>0</v>
      </c>
      <c r="E270" s="63">
        <f t="shared" ref="E270:E286" si="106">$B270*D270/$X270</f>
        <v>0</v>
      </c>
      <c r="F270" s="30" t="s">
        <v>376</v>
      </c>
      <c r="G270" s="30" t="s">
        <v>376</v>
      </c>
      <c r="H270" s="30" t="s">
        <v>376</v>
      </c>
      <c r="I270" s="30" t="s">
        <v>376</v>
      </c>
      <c r="J270" s="30" t="s">
        <v>376</v>
      </c>
      <c r="K270" s="30" t="s">
        <v>376</v>
      </c>
      <c r="L270" s="62">
        <f>'Расчет субсидий'!P270-1</f>
        <v>-8.8932806324110714E-2</v>
      </c>
      <c r="M270" s="62">
        <f>L270*'Расчет субсидий'!Q270</f>
        <v>-1.7786561264822143</v>
      </c>
      <c r="N270" s="63">
        <f t="shared" ref="N270:N286" si="107">$B270*M270/$X270</f>
        <v>-1.1272727272727252</v>
      </c>
      <c r="O270" s="62">
        <f>'Расчет субсидий'!R270-1</f>
        <v>0</v>
      </c>
      <c r="P270" s="62">
        <f>O270*'Расчет субсидий'!S270</f>
        <v>0</v>
      </c>
      <c r="Q270" s="63">
        <f t="shared" ref="Q270:Q286" si="108">$B270*P270/$X270</f>
        <v>0</v>
      </c>
      <c r="R270" s="62">
        <f>'Расчет субсидий'!V270-1</f>
        <v>0</v>
      </c>
      <c r="S270" s="62">
        <f>R270*'Расчет субсидий'!W270</f>
        <v>0</v>
      </c>
      <c r="T270" s="63">
        <f t="shared" ref="T270:T286" si="109">$B270*S270/$X270</f>
        <v>0</v>
      </c>
      <c r="U270" s="62">
        <f>'Расчет субсидий'!Z270-1</f>
        <v>0</v>
      </c>
      <c r="V270" s="62">
        <f>U270*'Расчет субсидий'!AA270</f>
        <v>0</v>
      </c>
      <c r="W270" s="63">
        <f t="shared" ref="W270:W286" si="110">$B270*V270/$X270</f>
        <v>0</v>
      </c>
      <c r="X270" s="62">
        <f t="shared" si="95"/>
        <v>-1.7786561264822143</v>
      </c>
    </row>
    <row r="271" spans="1:24" ht="15" customHeight="1">
      <c r="A271" s="36" t="s">
        <v>268</v>
      </c>
      <c r="B271" s="60">
        <f>'Расчет субсидий'!AG271</f>
        <v>-6.3636363636363491E-2</v>
      </c>
      <c r="C271" s="62">
        <f>'Расчет субсидий'!D271-1</f>
        <v>-1</v>
      </c>
      <c r="D271" s="62">
        <f>C271*'Расчет субсидий'!E271</f>
        <v>0</v>
      </c>
      <c r="E271" s="63">
        <f t="shared" si="106"/>
        <v>0</v>
      </c>
      <c r="F271" s="30" t="s">
        <v>376</v>
      </c>
      <c r="G271" s="30" t="s">
        <v>376</v>
      </c>
      <c r="H271" s="30" t="s">
        <v>376</v>
      </c>
      <c r="I271" s="30" t="s">
        <v>376</v>
      </c>
      <c r="J271" s="30" t="s">
        <v>376</v>
      </c>
      <c r="K271" s="30" t="s">
        <v>376</v>
      </c>
      <c r="L271" s="62">
        <f>'Расчет субсидий'!P271-1</f>
        <v>-4.2424242424242475E-2</v>
      </c>
      <c r="M271" s="62">
        <f>L271*'Расчет субсидий'!Q271</f>
        <v>-0.84848484848484951</v>
      </c>
      <c r="N271" s="63">
        <f t="shared" si="107"/>
        <v>-6.3636363636363491E-2</v>
      </c>
      <c r="O271" s="62">
        <f>'Расчет субсидий'!R271-1</f>
        <v>0</v>
      </c>
      <c r="P271" s="62">
        <f>O271*'Расчет субсидий'!S271</f>
        <v>0</v>
      </c>
      <c r="Q271" s="63">
        <f t="shared" si="108"/>
        <v>0</v>
      </c>
      <c r="R271" s="62">
        <f>'Расчет субсидий'!V271-1</f>
        <v>0</v>
      </c>
      <c r="S271" s="62">
        <f>R271*'Расчет субсидий'!W271</f>
        <v>0</v>
      </c>
      <c r="T271" s="63">
        <f t="shared" si="109"/>
        <v>0</v>
      </c>
      <c r="U271" s="62">
        <f>'Расчет субсидий'!Z271-1</f>
        <v>0</v>
      </c>
      <c r="V271" s="62">
        <f>U271*'Расчет субсидий'!AA271</f>
        <v>0</v>
      </c>
      <c r="W271" s="63">
        <f t="shared" si="110"/>
        <v>0</v>
      </c>
      <c r="X271" s="62">
        <f t="shared" si="95"/>
        <v>-0.84848484848484951</v>
      </c>
    </row>
    <row r="272" spans="1:24" ht="15" customHeight="1">
      <c r="A272" s="36" t="s">
        <v>269</v>
      </c>
      <c r="B272" s="60">
        <f>'Расчет субсидий'!AG272</f>
        <v>2.9363636363636374</v>
      </c>
      <c r="C272" s="62">
        <f>'Расчет субсидий'!D272-1</f>
        <v>-1</v>
      </c>
      <c r="D272" s="62">
        <f>C272*'Расчет субсидий'!E272</f>
        <v>0</v>
      </c>
      <c r="E272" s="63">
        <f t="shared" si="106"/>
        <v>0</v>
      </c>
      <c r="F272" s="30" t="s">
        <v>376</v>
      </c>
      <c r="G272" s="30" t="s">
        <v>376</v>
      </c>
      <c r="H272" s="30" t="s">
        <v>376</v>
      </c>
      <c r="I272" s="30" t="s">
        <v>376</v>
      </c>
      <c r="J272" s="30" t="s">
        <v>376</v>
      </c>
      <c r="K272" s="30" t="s">
        <v>376</v>
      </c>
      <c r="L272" s="62">
        <f>'Расчет субсидий'!P272-1</f>
        <v>-6.0942821294138749E-2</v>
      </c>
      <c r="M272" s="62">
        <f>L272*'Расчет субсидий'!Q272</f>
        <v>-1.218856425882775</v>
      </c>
      <c r="N272" s="63">
        <f t="shared" si="107"/>
        <v>-0.23168369051177023</v>
      </c>
      <c r="O272" s="62">
        <f>'Расчет субсидий'!R272-1</f>
        <v>0</v>
      </c>
      <c r="P272" s="62">
        <f>O272*'Расчет субсидий'!S272</f>
        <v>0</v>
      </c>
      <c r="Q272" s="63">
        <f t="shared" si="108"/>
        <v>0</v>
      </c>
      <c r="R272" s="62">
        <f>'Расчет субсидий'!V272-1</f>
        <v>0</v>
      </c>
      <c r="S272" s="62">
        <f>R272*'Расчет субсидий'!W272</f>
        <v>0</v>
      </c>
      <c r="T272" s="63">
        <f t="shared" si="109"/>
        <v>0</v>
      </c>
      <c r="U272" s="62">
        <f>'Расчет субсидий'!Z272-1</f>
        <v>0.41666666666666674</v>
      </c>
      <c r="V272" s="62">
        <f>U272*'Расчет субсидий'!AA272</f>
        <v>16.666666666666671</v>
      </c>
      <c r="W272" s="63">
        <f t="shared" si="110"/>
        <v>3.1680473268754077</v>
      </c>
      <c r="X272" s="62">
        <f t="shared" si="95"/>
        <v>15.447810240783896</v>
      </c>
    </row>
    <row r="273" spans="1:24" ht="15" customHeight="1">
      <c r="A273" s="36" t="s">
        <v>270</v>
      </c>
      <c r="B273" s="60">
        <f>'Расчет субсидий'!AG273</f>
        <v>-16.109090909090895</v>
      </c>
      <c r="C273" s="62">
        <f>'Расчет субсидий'!D273-1</f>
        <v>-1</v>
      </c>
      <c r="D273" s="62">
        <f>C273*'Расчет субсидий'!E273</f>
        <v>0</v>
      </c>
      <c r="E273" s="63">
        <f t="shared" si="106"/>
        <v>0</v>
      </c>
      <c r="F273" s="30" t="s">
        <v>376</v>
      </c>
      <c r="G273" s="30" t="s">
        <v>376</v>
      </c>
      <c r="H273" s="30" t="s">
        <v>376</v>
      </c>
      <c r="I273" s="30" t="s">
        <v>376</v>
      </c>
      <c r="J273" s="30" t="s">
        <v>376</v>
      </c>
      <c r="K273" s="30" t="s">
        <v>376</v>
      </c>
      <c r="L273" s="62">
        <f>'Расчет субсидий'!P273-1</f>
        <v>-0.3592727272727273</v>
      </c>
      <c r="M273" s="62">
        <f>L273*'Расчет субсидий'!Q273</f>
        <v>-7.1854545454545455</v>
      </c>
      <c r="N273" s="63">
        <f t="shared" si="107"/>
        <v>-16.109090909090895</v>
      </c>
      <c r="O273" s="62">
        <f>'Расчет субсидий'!R273-1</f>
        <v>0</v>
      </c>
      <c r="P273" s="62">
        <f>O273*'Расчет субсидий'!S273</f>
        <v>0</v>
      </c>
      <c r="Q273" s="63">
        <f t="shared" si="108"/>
        <v>0</v>
      </c>
      <c r="R273" s="62">
        <f>'Расчет субсидий'!V273-1</f>
        <v>0</v>
      </c>
      <c r="S273" s="62">
        <f>R273*'Расчет субсидий'!W273</f>
        <v>0</v>
      </c>
      <c r="T273" s="63">
        <f t="shared" si="109"/>
        <v>0</v>
      </c>
      <c r="U273" s="62">
        <f>'Расчет субсидий'!Z273-1</f>
        <v>0</v>
      </c>
      <c r="V273" s="62">
        <f>U273*'Расчет субсидий'!AA273</f>
        <v>0</v>
      </c>
      <c r="W273" s="63">
        <f t="shared" si="110"/>
        <v>0</v>
      </c>
      <c r="X273" s="62">
        <f t="shared" si="95"/>
        <v>-7.1854545454545455</v>
      </c>
    </row>
    <row r="274" spans="1:24" ht="15" customHeight="1">
      <c r="A274" s="36" t="s">
        <v>271</v>
      </c>
      <c r="B274" s="60">
        <f>'Расчет субсидий'!AG274</f>
        <v>1.372727272727273</v>
      </c>
      <c r="C274" s="62">
        <f>'Расчет субсидий'!D274-1</f>
        <v>0.3789473684210527</v>
      </c>
      <c r="D274" s="62">
        <f>C274*'Расчет субсидий'!E274</f>
        <v>3.789473684210527</v>
      </c>
      <c r="E274" s="63">
        <f t="shared" si="106"/>
        <v>0.35256362871672015</v>
      </c>
      <c r="F274" s="30" t="s">
        <v>376</v>
      </c>
      <c r="G274" s="30" t="s">
        <v>376</v>
      </c>
      <c r="H274" s="30" t="s">
        <v>376</v>
      </c>
      <c r="I274" s="30" t="s">
        <v>376</v>
      </c>
      <c r="J274" s="30" t="s">
        <v>376</v>
      </c>
      <c r="K274" s="30" t="s">
        <v>376</v>
      </c>
      <c r="L274" s="62">
        <f>'Расчет субсидий'!P274-1</f>
        <v>-0.65174672489082974</v>
      </c>
      <c r="M274" s="62">
        <f>L274*'Расчет субсидий'!Q274</f>
        <v>-13.034934497816595</v>
      </c>
      <c r="N274" s="63">
        <f t="shared" si="107"/>
        <v>-1.2127393378620073</v>
      </c>
      <c r="O274" s="62">
        <f>'Расчет субсидий'!R274-1</f>
        <v>0</v>
      </c>
      <c r="P274" s="62">
        <f>O274*'Расчет субсидий'!S274</f>
        <v>0</v>
      </c>
      <c r="Q274" s="63">
        <f t="shared" si="108"/>
        <v>0</v>
      </c>
      <c r="R274" s="62">
        <f>'Расчет субсидий'!V274-1</f>
        <v>0</v>
      </c>
      <c r="S274" s="62">
        <f>R274*'Расчет субсидий'!W274</f>
        <v>0</v>
      </c>
      <c r="T274" s="63">
        <f t="shared" si="109"/>
        <v>0</v>
      </c>
      <c r="U274" s="62">
        <f>'Расчет субсидий'!Z274-1</f>
        <v>0.8</v>
      </c>
      <c r="V274" s="62">
        <f>U274*'Расчет субсидий'!AA274</f>
        <v>24</v>
      </c>
      <c r="W274" s="63">
        <f t="shared" si="110"/>
        <v>2.2329029818725603</v>
      </c>
      <c r="X274" s="62">
        <f t="shared" si="95"/>
        <v>14.754539186393933</v>
      </c>
    </row>
    <row r="275" spans="1:24" ht="15" customHeight="1">
      <c r="A275" s="36" t="s">
        <v>272</v>
      </c>
      <c r="B275" s="60">
        <f>'Расчет субсидий'!AG275</f>
        <v>-42.418181818181807</v>
      </c>
      <c r="C275" s="62">
        <f>'Расчет субсидий'!D275-1</f>
        <v>-1</v>
      </c>
      <c r="D275" s="62">
        <f>C275*'Расчет субсидий'!E275</f>
        <v>0</v>
      </c>
      <c r="E275" s="63">
        <f t="shared" si="106"/>
        <v>0</v>
      </c>
      <c r="F275" s="30" t="s">
        <v>376</v>
      </c>
      <c r="G275" s="30" t="s">
        <v>376</v>
      </c>
      <c r="H275" s="30" t="s">
        <v>376</v>
      </c>
      <c r="I275" s="30" t="s">
        <v>376</v>
      </c>
      <c r="J275" s="30" t="s">
        <v>376</v>
      </c>
      <c r="K275" s="30" t="s">
        <v>376</v>
      </c>
      <c r="L275" s="62">
        <f>'Расчет субсидий'!P275-1</f>
        <v>-0.59289540456723988</v>
      </c>
      <c r="M275" s="62">
        <f>L275*'Расчет субсидий'!Q275</f>
        <v>-11.857908091344797</v>
      </c>
      <c r="N275" s="63">
        <f t="shared" si="107"/>
        <v>-19.099580324368453</v>
      </c>
      <c r="O275" s="62">
        <f>'Расчет субсидий'!R275-1</f>
        <v>0</v>
      </c>
      <c r="P275" s="62">
        <f>O275*'Расчет субсидий'!S275</f>
        <v>0</v>
      </c>
      <c r="Q275" s="63">
        <f t="shared" si="108"/>
        <v>0</v>
      </c>
      <c r="R275" s="62">
        <f>'Расчет субсидий'!V275-1</f>
        <v>-0.38181818181818183</v>
      </c>
      <c r="S275" s="62">
        <f>R275*'Расчет субсидий'!W275</f>
        <v>-5.7272727272727275</v>
      </c>
      <c r="T275" s="63">
        <f t="shared" si="109"/>
        <v>-9.2249412502997874</v>
      </c>
      <c r="U275" s="62">
        <f>'Расчет субсидий'!Z275-1</f>
        <v>-0.25</v>
      </c>
      <c r="V275" s="62">
        <f>U275*'Расчет субсидий'!AA275</f>
        <v>-8.75</v>
      </c>
      <c r="W275" s="63">
        <f t="shared" si="110"/>
        <v>-14.093660243513565</v>
      </c>
      <c r="X275" s="62">
        <f t="shared" si="95"/>
        <v>-26.335180818617523</v>
      </c>
    </row>
    <row r="276" spans="1:24" ht="15" customHeight="1">
      <c r="A276" s="36" t="s">
        <v>273</v>
      </c>
      <c r="B276" s="60">
        <f>'Расчет субсидий'!AG276</f>
        <v>-22.863636363636374</v>
      </c>
      <c r="C276" s="62">
        <f>'Расчет субсидий'!D276-1</f>
        <v>-1</v>
      </c>
      <c r="D276" s="62">
        <f>C276*'Расчет субсидий'!E276</f>
        <v>0</v>
      </c>
      <c r="E276" s="63">
        <f t="shared" si="106"/>
        <v>0</v>
      </c>
      <c r="F276" s="30" t="s">
        <v>376</v>
      </c>
      <c r="G276" s="30" t="s">
        <v>376</v>
      </c>
      <c r="H276" s="30" t="s">
        <v>376</v>
      </c>
      <c r="I276" s="30" t="s">
        <v>376</v>
      </c>
      <c r="J276" s="30" t="s">
        <v>376</v>
      </c>
      <c r="K276" s="30" t="s">
        <v>376</v>
      </c>
      <c r="L276" s="62">
        <f>'Расчет субсидий'!P276-1</f>
        <v>-0.35990756787983824</v>
      </c>
      <c r="M276" s="62">
        <f>L276*'Расчет субсидий'!Q276</f>
        <v>-7.1981513575967648</v>
      </c>
      <c r="N276" s="63">
        <f t="shared" si="107"/>
        <v>-11.729044983877525</v>
      </c>
      <c r="O276" s="62">
        <f>'Расчет субсидий'!R276-1</f>
        <v>0</v>
      </c>
      <c r="P276" s="62">
        <f>O276*'Расчет субсидий'!S276</f>
        <v>0</v>
      </c>
      <c r="Q276" s="63">
        <f t="shared" si="108"/>
        <v>0</v>
      </c>
      <c r="R276" s="62">
        <f>'Расчет субсидий'!V276-1</f>
        <v>0.28333333333333344</v>
      </c>
      <c r="S276" s="62">
        <f>R276*'Расчет субсидий'!W276</f>
        <v>5.6666666666666687</v>
      </c>
      <c r="T276" s="63">
        <f t="shared" si="109"/>
        <v>9.2335635832146643</v>
      </c>
      <c r="U276" s="62">
        <f>'Расчет субсидий'!Z276-1</f>
        <v>-0.41666666666666663</v>
      </c>
      <c r="V276" s="62">
        <f>U276*'Расчет субсидий'!AA276</f>
        <v>-12.499999999999998</v>
      </c>
      <c r="W276" s="63">
        <f t="shared" si="110"/>
        <v>-20.368154962973509</v>
      </c>
      <c r="X276" s="62">
        <f t="shared" si="95"/>
        <v>-14.031484690930094</v>
      </c>
    </row>
    <row r="277" spans="1:24" ht="15" customHeight="1">
      <c r="A277" s="36" t="s">
        <v>274</v>
      </c>
      <c r="B277" s="60">
        <f>'Расчет субсидий'!AG277</f>
        <v>33.77272727272728</v>
      </c>
      <c r="C277" s="62">
        <f>'Расчет субсидий'!D277-1</f>
        <v>-1</v>
      </c>
      <c r="D277" s="62">
        <f>C277*'Расчет субсидий'!E277</f>
        <v>0</v>
      </c>
      <c r="E277" s="63">
        <f t="shared" si="106"/>
        <v>0</v>
      </c>
      <c r="F277" s="30" t="s">
        <v>376</v>
      </c>
      <c r="G277" s="30" t="s">
        <v>376</v>
      </c>
      <c r="H277" s="30" t="s">
        <v>376</v>
      </c>
      <c r="I277" s="30" t="s">
        <v>376</v>
      </c>
      <c r="J277" s="30" t="s">
        <v>376</v>
      </c>
      <c r="K277" s="30" t="s">
        <v>376</v>
      </c>
      <c r="L277" s="62">
        <f>'Расчет субсидий'!P277-1</f>
        <v>1.4649999999999999</v>
      </c>
      <c r="M277" s="62">
        <f>L277*'Расчет субсидий'!Q277</f>
        <v>29.299999999999997</v>
      </c>
      <c r="N277" s="63">
        <f t="shared" si="107"/>
        <v>26.529246892517673</v>
      </c>
      <c r="O277" s="62">
        <f>'Расчет субсидий'!R277-1</f>
        <v>0</v>
      </c>
      <c r="P277" s="62">
        <f>O277*'Расчет субсидий'!S277</f>
        <v>0</v>
      </c>
      <c r="Q277" s="63">
        <f t="shared" si="108"/>
        <v>0</v>
      </c>
      <c r="R277" s="62">
        <f>'Расчет субсидий'!V277-1</f>
        <v>0</v>
      </c>
      <c r="S277" s="62">
        <f>R277*'Расчет субсидий'!W277</f>
        <v>0</v>
      </c>
      <c r="T277" s="63">
        <f t="shared" si="109"/>
        <v>0</v>
      </c>
      <c r="U277" s="62">
        <f>'Расчет субсидий'!Z277-1</f>
        <v>0.39999999999999991</v>
      </c>
      <c r="V277" s="62">
        <f>U277*'Расчет субсидий'!AA277</f>
        <v>7.9999999999999982</v>
      </c>
      <c r="W277" s="63">
        <f t="shared" si="110"/>
        <v>7.2434803802096033</v>
      </c>
      <c r="X277" s="62">
        <f t="shared" si="95"/>
        <v>37.299999999999997</v>
      </c>
    </row>
    <row r="278" spans="1:24" ht="15" customHeight="1">
      <c r="A278" s="36" t="s">
        <v>275</v>
      </c>
      <c r="B278" s="60">
        <f>'Расчет субсидий'!AG278</f>
        <v>33.609090909090895</v>
      </c>
      <c r="C278" s="62">
        <f>'Расчет субсидий'!D278-1</f>
        <v>-1</v>
      </c>
      <c r="D278" s="62">
        <f>C278*'Расчет субсидий'!E278</f>
        <v>0</v>
      </c>
      <c r="E278" s="63">
        <f t="shared" si="106"/>
        <v>0</v>
      </c>
      <c r="F278" s="30" t="s">
        <v>376</v>
      </c>
      <c r="G278" s="30" t="s">
        <v>376</v>
      </c>
      <c r="H278" s="30" t="s">
        <v>376</v>
      </c>
      <c r="I278" s="30" t="s">
        <v>376</v>
      </c>
      <c r="J278" s="30" t="s">
        <v>376</v>
      </c>
      <c r="K278" s="30" t="s">
        <v>376</v>
      </c>
      <c r="L278" s="62">
        <f>'Расчет субсидий'!P278-1</f>
        <v>14.755287009063444</v>
      </c>
      <c r="M278" s="62">
        <f>L278*'Расчет субсидий'!Q278</f>
        <v>295.10574018126886</v>
      </c>
      <c r="N278" s="63">
        <f t="shared" si="107"/>
        <v>37.412376068376055</v>
      </c>
      <c r="O278" s="62">
        <f>'Расчет субсидий'!R278-1</f>
        <v>0</v>
      </c>
      <c r="P278" s="62">
        <f>O278*'Расчет субсидий'!S278</f>
        <v>0</v>
      </c>
      <c r="Q278" s="63">
        <f t="shared" si="108"/>
        <v>0</v>
      </c>
      <c r="R278" s="62">
        <f>'Расчет субсидий'!V278-1</f>
        <v>0</v>
      </c>
      <c r="S278" s="62">
        <f>R278*'Расчет субсидий'!W278</f>
        <v>0</v>
      </c>
      <c r="T278" s="63">
        <f t="shared" si="109"/>
        <v>0</v>
      </c>
      <c r="U278" s="62">
        <f>'Расчет субсидий'!Z278-1</f>
        <v>-1</v>
      </c>
      <c r="V278" s="62">
        <f>U278*'Расчет субсидий'!AA278</f>
        <v>-30</v>
      </c>
      <c r="W278" s="63">
        <f t="shared" si="110"/>
        <v>-3.8032851592851578</v>
      </c>
      <c r="X278" s="62">
        <f t="shared" si="95"/>
        <v>265.10574018126886</v>
      </c>
    </row>
    <row r="279" spans="1:24" ht="15" customHeight="1">
      <c r="A279" s="36" t="s">
        <v>276</v>
      </c>
      <c r="B279" s="60">
        <f>'Расчет субсидий'!AG279</f>
        <v>-18.236363636363635</v>
      </c>
      <c r="C279" s="62">
        <f>'Расчет субсидий'!D279-1</f>
        <v>-1</v>
      </c>
      <c r="D279" s="62">
        <f>C279*'Расчет субсидий'!E279</f>
        <v>0</v>
      </c>
      <c r="E279" s="63">
        <f t="shared" si="106"/>
        <v>0</v>
      </c>
      <c r="F279" s="30" t="s">
        <v>376</v>
      </c>
      <c r="G279" s="30" t="s">
        <v>376</v>
      </c>
      <c r="H279" s="30" t="s">
        <v>376</v>
      </c>
      <c r="I279" s="30" t="s">
        <v>376</v>
      </c>
      <c r="J279" s="30" t="s">
        <v>376</v>
      </c>
      <c r="K279" s="30" t="s">
        <v>376</v>
      </c>
      <c r="L279" s="62">
        <f>'Расчет субсидий'!P279-1</f>
        <v>-0.76314246628884108</v>
      </c>
      <c r="M279" s="62">
        <f>L279*'Расчет субсидий'!Q279</f>
        <v>-15.262849325776822</v>
      </c>
      <c r="N279" s="63">
        <f t="shared" si="107"/>
        <v>-11.061500501326904</v>
      </c>
      <c r="O279" s="62">
        <f>'Расчет субсидий'!R279-1</f>
        <v>0</v>
      </c>
      <c r="P279" s="62">
        <f>O279*'Расчет субсидий'!S279</f>
        <v>0</v>
      </c>
      <c r="Q279" s="63">
        <f t="shared" si="108"/>
        <v>0</v>
      </c>
      <c r="R279" s="62">
        <f>'Расчет субсидий'!V279-1</f>
        <v>-0.66</v>
      </c>
      <c r="S279" s="62">
        <f>R279*'Расчет субсидий'!W279</f>
        <v>-9.9</v>
      </c>
      <c r="T279" s="63">
        <f t="shared" si="109"/>
        <v>-7.1748631350367313</v>
      </c>
      <c r="U279" s="62">
        <f>'Расчет субсидий'!Z279-1</f>
        <v>0</v>
      </c>
      <c r="V279" s="62">
        <f>U279*'Расчет субсидий'!AA279</f>
        <v>0</v>
      </c>
      <c r="W279" s="63">
        <f t="shared" si="110"/>
        <v>0</v>
      </c>
      <c r="X279" s="62">
        <f t="shared" si="95"/>
        <v>-25.162849325776822</v>
      </c>
    </row>
    <row r="280" spans="1:24" ht="15" customHeight="1">
      <c r="A280" s="36" t="s">
        <v>277</v>
      </c>
      <c r="B280" s="60">
        <f>'Расчет субсидий'!AG280</f>
        <v>19.827272727272728</v>
      </c>
      <c r="C280" s="62">
        <f>'Расчет субсидий'!D280-1</f>
        <v>-1</v>
      </c>
      <c r="D280" s="62">
        <f>C280*'Расчет субсидий'!E280</f>
        <v>0</v>
      </c>
      <c r="E280" s="63">
        <f t="shared" si="106"/>
        <v>0</v>
      </c>
      <c r="F280" s="30" t="s">
        <v>376</v>
      </c>
      <c r="G280" s="30" t="s">
        <v>376</v>
      </c>
      <c r="H280" s="30" t="s">
        <v>376</v>
      </c>
      <c r="I280" s="30" t="s">
        <v>376</v>
      </c>
      <c r="J280" s="30" t="s">
        <v>376</v>
      </c>
      <c r="K280" s="30" t="s">
        <v>376</v>
      </c>
      <c r="L280" s="62">
        <f>'Расчет субсидий'!P280-1</f>
        <v>1.6838143036386448</v>
      </c>
      <c r="M280" s="62">
        <f>L280*'Расчет субсидий'!Q280</f>
        <v>33.676286072772896</v>
      </c>
      <c r="N280" s="63">
        <f t="shared" si="107"/>
        <v>18.828856287198153</v>
      </c>
      <c r="O280" s="62">
        <f>'Расчет субсидий'!R280-1</f>
        <v>0</v>
      </c>
      <c r="P280" s="62">
        <f>O280*'Расчет субсидий'!S280</f>
        <v>0</v>
      </c>
      <c r="Q280" s="63">
        <f t="shared" si="108"/>
        <v>0</v>
      </c>
      <c r="R280" s="62">
        <f>'Расчет субсидий'!V280-1</f>
        <v>0.17142857142857126</v>
      </c>
      <c r="S280" s="62">
        <f>R280*'Расчет субсидий'!W280</f>
        <v>4.2857142857142811</v>
      </c>
      <c r="T280" s="63">
        <f t="shared" si="109"/>
        <v>2.3961994561789837</v>
      </c>
      <c r="U280" s="62">
        <f>'Расчет субсидий'!Z280-1</f>
        <v>-9.9999999999999978E-2</v>
      </c>
      <c r="V280" s="62">
        <f>U280*'Расчет субсидий'!AA280</f>
        <v>-2.4999999999999996</v>
      </c>
      <c r="W280" s="63">
        <f t="shared" si="110"/>
        <v>-1.3977830161044085</v>
      </c>
      <c r="X280" s="62">
        <f t="shared" si="95"/>
        <v>35.462000358487174</v>
      </c>
    </row>
    <row r="281" spans="1:24" ht="15" customHeight="1">
      <c r="A281" s="36" t="s">
        <v>278</v>
      </c>
      <c r="B281" s="60">
        <f>'Расчет субсидий'!AG281</f>
        <v>0.24545454545454959</v>
      </c>
      <c r="C281" s="62">
        <f>'Расчет субсидий'!D281-1</f>
        <v>-1</v>
      </c>
      <c r="D281" s="62">
        <f>C281*'Расчет субсидий'!E281</f>
        <v>0</v>
      </c>
      <c r="E281" s="63">
        <f t="shared" si="106"/>
        <v>0</v>
      </c>
      <c r="F281" s="30" t="s">
        <v>376</v>
      </c>
      <c r="G281" s="30" t="s">
        <v>376</v>
      </c>
      <c r="H281" s="30" t="s">
        <v>376</v>
      </c>
      <c r="I281" s="30" t="s">
        <v>376</v>
      </c>
      <c r="J281" s="30" t="s">
        <v>376</v>
      </c>
      <c r="K281" s="30" t="s">
        <v>376</v>
      </c>
      <c r="L281" s="62">
        <f>'Расчет субсидий'!P281-1</f>
        <v>0.56039441248972888</v>
      </c>
      <c r="M281" s="62">
        <f>L281*'Расчет субсидий'!Q281</f>
        <v>11.207888249794578</v>
      </c>
      <c r="N281" s="63">
        <f t="shared" si="107"/>
        <v>5.5733650416171905</v>
      </c>
      <c r="O281" s="62">
        <f>'Расчет субсидий'!R281-1</f>
        <v>0</v>
      </c>
      <c r="P281" s="62">
        <f>O281*'Расчет субсидий'!S281</f>
        <v>0</v>
      </c>
      <c r="Q281" s="63">
        <f t="shared" si="108"/>
        <v>0</v>
      </c>
      <c r="R281" s="62">
        <f>'Расчет субсидий'!V281-1</f>
        <v>-0.5357142857142857</v>
      </c>
      <c r="S281" s="62">
        <f>R281*'Расчет субсидий'!W281</f>
        <v>-10.714285714285714</v>
      </c>
      <c r="T281" s="63">
        <f t="shared" si="109"/>
        <v>-5.3279104961626409</v>
      </c>
      <c r="U281" s="62">
        <f>'Расчет субсидий'!Z281-1</f>
        <v>0</v>
      </c>
      <c r="V281" s="62">
        <f>U281*'Расчет субсидий'!AA281</f>
        <v>0</v>
      </c>
      <c r="W281" s="63">
        <f t="shared" si="110"/>
        <v>0</v>
      </c>
      <c r="X281" s="62">
        <f t="shared" si="95"/>
        <v>0.4936025355088649</v>
      </c>
    </row>
    <row r="282" spans="1:24" ht="15" customHeight="1">
      <c r="A282" s="36" t="s">
        <v>279</v>
      </c>
      <c r="B282" s="60">
        <f>'Расчет субсидий'!AG282</f>
        <v>-10.77272727272728</v>
      </c>
      <c r="C282" s="62">
        <f>'Расчет субсидий'!D282-1</f>
        <v>-0.1046926229508196</v>
      </c>
      <c r="D282" s="62">
        <f>C282*'Расчет субсидий'!E282</f>
        <v>-1.046926229508196</v>
      </c>
      <c r="E282" s="63">
        <f t="shared" si="106"/>
        <v>-2.1005121753362195</v>
      </c>
      <c r="F282" s="30" t="s">
        <v>376</v>
      </c>
      <c r="G282" s="30" t="s">
        <v>376</v>
      </c>
      <c r="H282" s="30" t="s">
        <v>376</v>
      </c>
      <c r="I282" s="30" t="s">
        <v>376</v>
      </c>
      <c r="J282" s="30" t="s">
        <v>376</v>
      </c>
      <c r="K282" s="30" t="s">
        <v>376</v>
      </c>
      <c r="L282" s="62">
        <f>'Расчет субсидий'!P282-1</f>
        <v>-0.2161179916022723</v>
      </c>
      <c r="M282" s="62">
        <f>L282*'Расчет субсидий'!Q282</f>
        <v>-4.3223598320454464</v>
      </c>
      <c r="N282" s="63">
        <f t="shared" si="107"/>
        <v>-8.6722150973910601</v>
      </c>
      <c r="O282" s="62">
        <f>'Расчет субсидий'!R282-1</f>
        <v>0</v>
      </c>
      <c r="P282" s="62">
        <f>O282*'Расчет субсидий'!S282</f>
        <v>0</v>
      </c>
      <c r="Q282" s="63">
        <f t="shared" si="108"/>
        <v>0</v>
      </c>
      <c r="R282" s="62">
        <f>'Расчет субсидий'!V282-1</f>
        <v>0</v>
      </c>
      <c r="S282" s="62">
        <f>R282*'Расчет субсидий'!W282</f>
        <v>0</v>
      </c>
      <c r="T282" s="63">
        <f t="shared" si="109"/>
        <v>0</v>
      </c>
      <c r="U282" s="62">
        <f>'Расчет субсидий'!Z282-1</f>
        <v>0</v>
      </c>
      <c r="V282" s="62">
        <f>U282*'Расчет субсидий'!AA282</f>
        <v>0</v>
      </c>
      <c r="W282" s="63">
        <f t="shared" si="110"/>
        <v>0</v>
      </c>
      <c r="X282" s="62">
        <f t="shared" si="95"/>
        <v>-5.3692860615536429</v>
      </c>
    </row>
    <row r="283" spans="1:24" ht="15" customHeight="1">
      <c r="A283" s="36" t="s">
        <v>280</v>
      </c>
      <c r="B283" s="60">
        <f>'Расчет субсидий'!AG283</f>
        <v>24.318181818181813</v>
      </c>
      <c r="C283" s="62">
        <f>'Расчет субсидий'!D283-1</f>
        <v>4.2150238473767887</v>
      </c>
      <c r="D283" s="62">
        <f>C283*'Расчет субсидий'!E283</f>
        <v>42.150238473767885</v>
      </c>
      <c r="E283" s="63">
        <f t="shared" si="106"/>
        <v>68.95971773839112</v>
      </c>
      <c r="F283" s="30" t="s">
        <v>376</v>
      </c>
      <c r="G283" s="30" t="s">
        <v>376</v>
      </c>
      <c r="H283" s="30" t="s">
        <v>376</v>
      </c>
      <c r="I283" s="30" t="s">
        <v>376</v>
      </c>
      <c r="J283" s="30" t="s">
        <v>376</v>
      </c>
      <c r="K283" s="30" t="s">
        <v>376</v>
      </c>
      <c r="L283" s="62">
        <f>'Расчет субсидий'!P283-1</f>
        <v>-0.11431198283787924</v>
      </c>
      <c r="M283" s="62">
        <f>L283*'Расчет субсидий'!Q283</f>
        <v>-2.2862396567575849</v>
      </c>
      <c r="N283" s="63">
        <f t="shared" si="107"/>
        <v>-3.7403926317151841</v>
      </c>
      <c r="O283" s="62">
        <f>'Расчет субсидий'!R283-1</f>
        <v>0</v>
      </c>
      <c r="P283" s="62">
        <f>O283*'Расчет субсидий'!S283</f>
        <v>0</v>
      </c>
      <c r="Q283" s="63">
        <f t="shared" si="108"/>
        <v>0</v>
      </c>
      <c r="R283" s="62">
        <f>'Расчет субсидий'!V283-1</f>
        <v>0</v>
      </c>
      <c r="S283" s="62">
        <f>R283*'Расчет субсидий'!W283</f>
        <v>0</v>
      </c>
      <c r="T283" s="63">
        <f t="shared" si="109"/>
        <v>0</v>
      </c>
      <c r="U283" s="62">
        <f>'Расчет субсидий'!Z283-1</f>
        <v>-1</v>
      </c>
      <c r="V283" s="62">
        <f>U283*'Расчет субсидий'!AA283</f>
        <v>-25</v>
      </c>
      <c r="W283" s="63">
        <f t="shared" si="110"/>
        <v>-40.901143288494119</v>
      </c>
      <c r="X283" s="62">
        <f t="shared" si="95"/>
        <v>14.863998817010298</v>
      </c>
    </row>
    <row r="284" spans="1:24" ht="15" customHeight="1">
      <c r="A284" s="36" t="s">
        <v>281</v>
      </c>
      <c r="B284" s="60">
        <f>'Расчет субсидий'!AG284</f>
        <v>29.71818181818179</v>
      </c>
      <c r="C284" s="62">
        <f>'Расчет субсидий'!D284-1</f>
        <v>0.29105204138845009</v>
      </c>
      <c r="D284" s="62">
        <f>C284*'Расчет субсидий'!E284</f>
        <v>2.9105204138845009</v>
      </c>
      <c r="E284" s="63">
        <f t="shared" si="106"/>
        <v>7.7997950646887846</v>
      </c>
      <c r="F284" s="30" t="s">
        <v>376</v>
      </c>
      <c r="G284" s="30" t="s">
        <v>376</v>
      </c>
      <c r="H284" s="30" t="s">
        <v>376</v>
      </c>
      <c r="I284" s="30" t="s">
        <v>376</v>
      </c>
      <c r="J284" s="30" t="s">
        <v>376</v>
      </c>
      <c r="K284" s="30" t="s">
        <v>376</v>
      </c>
      <c r="L284" s="62">
        <f>'Расчет субсидий'!P284-1</f>
        <v>-4.1053921568627416E-2</v>
      </c>
      <c r="M284" s="62">
        <f>L284*'Расчет субсидий'!Q284</f>
        <v>-0.82107843137254832</v>
      </c>
      <c r="N284" s="63">
        <f t="shared" si="107"/>
        <v>-2.2003774535271656</v>
      </c>
      <c r="O284" s="62">
        <f>'Расчет субсидий'!R284-1</f>
        <v>0</v>
      </c>
      <c r="P284" s="62">
        <f>O284*'Расчет субсидий'!S284</f>
        <v>0</v>
      </c>
      <c r="Q284" s="63">
        <f t="shared" si="108"/>
        <v>0</v>
      </c>
      <c r="R284" s="62">
        <f>'Расчет субсидий'!V284-1</f>
        <v>0</v>
      </c>
      <c r="S284" s="62">
        <f>R284*'Расчет субсидий'!W284</f>
        <v>0</v>
      </c>
      <c r="T284" s="63">
        <f t="shared" si="109"/>
        <v>0</v>
      </c>
      <c r="U284" s="62">
        <f>'Расчет субсидий'!Z284-1</f>
        <v>0.19999999999999996</v>
      </c>
      <c r="V284" s="62">
        <f>U284*'Расчет субсидий'!AA284</f>
        <v>8.9999999999999982</v>
      </c>
      <c r="W284" s="63">
        <f t="shared" si="110"/>
        <v>24.118764207020174</v>
      </c>
      <c r="X284" s="62">
        <f t="shared" si="95"/>
        <v>11.08944198251195</v>
      </c>
    </row>
    <row r="285" spans="1:24" ht="15" customHeight="1">
      <c r="A285" s="36" t="s">
        <v>282</v>
      </c>
      <c r="B285" s="60">
        <f>'Расчет субсидий'!AG285</f>
        <v>0</v>
      </c>
      <c r="C285" s="62">
        <f>'Расчет субсидий'!D285-1</f>
        <v>8.4895259095940645E-5</v>
      </c>
      <c r="D285" s="62">
        <f>C285*'Расчет субсидий'!E285</f>
        <v>8.4895259095940645E-4</v>
      </c>
      <c r="E285" s="63">
        <f t="shared" si="106"/>
        <v>0</v>
      </c>
      <c r="F285" s="30" t="s">
        <v>376</v>
      </c>
      <c r="G285" s="30" t="s">
        <v>376</v>
      </c>
      <c r="H285" s="30" t="s">
        <v>376</v>
      </c>
      <c r="I285" s="30" t="s">
        <v>376</v>
      </c>
      <c r="J285" s="30" t="s">
        <v>376</v>
      </c>
      <c r="K285" s="30" t="s">
        <v>376</v>
      </c>
      <c r="L285" s="62">
        <f>'Расчет субсидий'!P285-1</f>
        <v>0.72963444052699944</v>
      </c>
      <c r="M285" s="62">
        <f>L285*'Расчет субсидий'!Q285</f>
        <v>14.59268881053999</v>
      </c>
      <c r="N285" s="63">
        <f t="shared" si="107"/>
        <v>0</v>
      </c>
      <c r="O285" s="62">
        <f>'Расчет субсидий'!R285-1</f>
        <v>0</v>
      </c>
      <c r="P285" s="62">
        <f>O285*'Расчет субсидий'!S285</f>
        <v>0</v>
      </c>
      <c r="Q285" s="63">
        <f t="shared" si="108"/>
        <v>0</v>
      </c>
      <c r="R285" s="62">
        <f>'Расчет субсидий'!V285-1</f>
        <v>0</v>
      </c>
      <c r="S285" s="62">
        <f>R285*'Расчет субсидий'!W285</f>
        <v>0</v>
      </c>
      <c r="T285" s="63">
        <f t="shared" si="109"/>
        <v>0</v>
      </c>
      <c r="U285" s="62">
        <f>'Расчет субсидий'!Z285-1</f>
        <v>1</v>
      </c>
      <c r="V285" s="62">
        <f>U285*'Расчет субсидий'!AA285</f>
        <v>40</v>
      </c>
      <c r="W285" s="63">
        <f t="shared" si="110"/>
        <v>0</v>
      </c>
      <c r="X285" s="62">
        <f t="shared" si="95"/>
        <v>54.593537763130954</v>
      </c>
    </row>
    <row r="286" spans="1:24" ht="15" customHeight="1">
      <c r="A286" s="36" t="s">
        <v>170</v>
      </c>
      <c r="B286" s="60">
        <f>'Расчет субсидий'!AG286</f>
        <v>-2.3181818181818166</v>
      </c>
      <c r="C286" s="62">
        <f>'Расчет субсидий'!D286-1</f>
        <v>-1</v>
      </c>
      <c r="D286" s="62">
        <f>C286*'Расчет субсидий'!E286</f>
        <v>0</v>
      </c>
      <c r="E286" s="63">
        <f t="shared" si="106"/>
        <v>0</v>
      </c>
      <c r="F286" s="30" t="s">
        <v>376</v>
      </c>
      <c r="G286" s="30" t="s">
        <v>376</v>
      </c>
      <c r="H286" s="30" t="s">
        <v>376</v>
      </c>
      <c r="I286" s="30" t="s">
        <v>376</v>
      </c>
      <c r="J286" s="30" t="s">
        <v>376</v>
      </c>
      <c r="K286" s="30" t="s">
        <v>376</v>
      </c>
      <c r="L286" s="62">
        <f>'Расчет субсидий'!P286-1</f>
        <v>-0.6785416086835514</v>
      </c>
      <c r="M286" s="62">
        <f>L286*'Расчет субсидий'!Q286</f>
        <v>-13.570832173671029</v>
      </c>
      <c r="N286" s="63">
        <f t="shared" si="107"/>
        <v>-4.0380184157317167</v>
      </c>
      <c r="O286" s="62">
        <f>'Расчет субсидий'!R286-1</f>
        <v>0</v>
      </c>
      <c r="P286" s="62">
        <f>O286*'Расчет субсидий'!S286</f>
        <v>0</v>
      </c>
      <c r="Q286" s="63">
        <f t="shared" si="108"/>
        <v>0</v>
      </c>
      <c r="R286" s="62">
        <f>'Расчет субсидий'!V286-1</f>
        <v>0.1597701149425288</v>
      </c>
      <c r="S286" s="62">
        <f>R286*'Расчет субсидий'!W286</f>
        <v>3.9942528735632199</v>
      </c>
      <c r="T286" s="63">
        <f t="shared" si="109"/>
        <v>1.1884950350966288</v>
      </c>
      <c r="U286" s="62">
        <f>'Расчет субсидий'!Z286-1</f>
        <v>7.1428571428571397E-2</v>
      </c>
      <c r="V286" s="62">
        <f>U286*'Расчет субсидий'!AA286</f>
        <v>1.7857142857142849</v>
      </c>
      <c r="W286" s="63">
        <f t="shared" si="110"/>
        <v>0.53134156245327147</v>
      </c>
      <c r="X286" s="62">
        <f t="shared" si="95"/>
        <v>-7.7908650143935247</v>
      </c>
    </row>
    <row r="287" spans="1:24" ht="15" customHeight="1">
      <c r="A287" s="35" t="s">
        <v>283</v>
      </c>
      <c r="B287" s="64"/>
      <c r="C287" s="65"/>
      <c r="D287" s="65"/>
      <c r="E287" s="66"/>
      <c r="F287" s="65"/>
      <c r="G287" s="65"/>
      <c r="H287" s="66"/>
      <c r="I287" s="66"/>
      <c r="J287" s="66"/>
      <c r="K287" s="66"/>
      <c r="L287" s="65"/>
      <c r="M287" s="65"/>
      <c r="N287" s="66"/>
      <c r="O287" s="65"/>
      <c r="P287" s="65"/>
      <c r="Q287" s="66"/>
      <c r="R287" s="65"/>
      <c r="S287" s="65"/>
      <c r="T287" s="66"/>
      <c r="U287" s="65"/>
      <c r="V287" s="65"/>
      <c r="W287" s="66"/>
      <c r="X287" s="66"/>
    </row>
    <row r="288" spans="1:24" ht="15" customHeight="1">
      <c r="A288" s="36" t="s">
        <v>73</v>
      </c>
      <c r="B288" s="60">
        <f>'Расчет субсидий'!AG288</f>
        <v>-1.0909090909090935</v>
      </c>
      <c r="C288" s="62">
        <f>'Расчет субсидий'!D288-1</f>
        <v>0.22564615384615383</v>
      </c>
      <c r="D288" s="62">
        <f>C288*'Расчет субсидий'!E288</f>
        <v>2.2564615384615383</v>
      </c>
      <c r="E288" s="63">
        <f t="shared" ref="E288:E311" si="111">$B288*D288/$X288</f>
        <v>1.2040034513767865</v>
      </c>
      <c r="F288" s="30" t="s">
        <v>376</v>
      </c>
      <c r="G288" s="30" t="s">
        <v>376</v>
      </c>
      <c r="H288" s="30" t="s">
        <v>376</v>
      </c>
      <c r="I288" s="30" t="s">
        <v>376</v>
      </c>
      <c r="J288" s="30" t="s">
        <v>376</v>
      </c>
      <c r="K288" s="30" t="s">
        <v>376</v>
      </c>
      <c r="L288" s="62">
        <f>'Расчет субсидий'!P288-1</f>
        <v>-0.17079022342180239</v>
      </c>
      <c r="M288" s="62">
        <f>L288*'Расчет субсидий'!Q288</f>
        <v>-3.4158044684360478</v>
      </c>
      <c r="N288" s="63">
        <f t="shared" ref="N288:N311" si="112">$B288*M288/$X288</f>
        <v>-1.8226060134972477</v>
      </c>
      <c r="O288" s="62">
        <f>'Расчет субсидий'!R288-1</f>
        <v>0</v>
      </c>
      <c r="P288" s="62">
        <f>O288*'Расчет субсидий'!S288</f>
        <v>0</v>
      </c>
      <c r="Q288" s="63">
        <f t="shared" ref="Q288:Q311" si="113">$B288*P288/$X288</f>
        <v>0</v>
      </c>
      <c r="R288" s="62">
        <f>'Расчет субсидий'!V288-1</f>
        <v>0</v>
      </c>
      <c r="S288" s="62">
        <f>R288*'Расчет субсидий'!W288</f>
        <v>0</v>
      </c>
      <c r="T288" s="63">
        <f t="shared" ref="T288:T311" si="114">$B288*S288/$X288</f>
        <v>0</v>
      </c>
      <c r="U288" s="62">
        <f>'Расчет субсидий'!Z288-1</f>
        <v>-1.9670329670329667E-2</v>
      </c>
      <c r="V288" s="62">
        <f>U288*'Расчет субсидий'!AA288</f>
        <v>-0.88516483516483502</v>
      </c>
      <c r="W288" s="63">
        <f t="shared" ref="W288:W311" si="115">$B288*V288/$X288</f>
        <v>-0.47230652878863211</v>
      </c>
      <c r="X288" s="62">
        <f t="shared" si="95"/>
        <v>-2.0445077651393446</v>
      </c>
    </row>
    <row r="289" spans="1:24" ht="15" customHeight="1">
      <c r="A289" s="36" t="s">
        <v>284</v>
      </c>
      <c r="B289" s="60">
        <f>'Расчет субсидий'!AG289</f>
        <v>-0.7181818181818187</v>
      </c>
      <c r="C289" s="62">
        <f>'Расчет субсидий'!D289-1</f>
        <v>-0.25333333333333341</v>
      </c>
      <c r="D289" s="62">
        <f>C289*'Расчет субсидий'!E289</f>
        <v>-2.5333333333333341</v>
      </c>
      <c r="E289" s="63">
        <f t="shared" si="111"/>
        <v>-0.12570270523567112</v>
      </c>
      <c r="F289" s="30" t="s">
        <v>376</v>
      </c>
      <c r="G289" s="30" t="s">
        <v>376</v>
      </c>
      <c r="H289" s="30" t="s">
        <v>376</v>
      </c>
      <c r="I289" s="30" t="s">
        <v>376</v>
      </c>
      <c r="J289" s="30" t="s">
        <v>376</v>
      </c>
      <c r="K289" s="30" t="s">
        <v>376</v>
      </c>
      <c r="L289" s="62">
        <f>'Расчет субсидий'!P289-1</f>
        <v>-0.59702258726899382</v>
      </c>
      <c r="M289" s="62">
        <f>L289*'Расчет субсидий'!Q289</f>
        <v>-11.940451745379876</v>
      </c>
      <c r="N289" s="63">
        <f t="shared" si="112"/>
        <v>-0.59247911294614763</v>
      </c>
      <c r="O289" s="62">
        <f>'Расчет субсидий'!R289-1</f>
        <v>0</v>
      </c>
      <c r="P289" s="62">
        <f>O289*'Расчет субсидий'!S289</f>
        <v>0</v>
      </c>
      <c r="Q289" s="63">
        <f t="shared" si="113"/>
        <v>0</v>
      </c>
      <c r="R289" s="62">
        <f>'Расчет субсидий'!V289-1</f>
        <v>0</v>
      </c>
      <c r="S289" s="62">
        <f>R289*'Расчет субсидий'!W289</f>
        <v>0</v>
      </c>
      <c r="T289" s="63">
        <f t="shared" si="114"/>
        <v>0</v>
      </c>
      <c r="U289" s="62">
        <f>'Расчет субсидий'!Z289-1</f>
        <v>0</v>
      </c>
      <c r="V289" s="62">
        <f>U289*'Расчет субсидий'!AA289</f>
        <v>0</v>
      </c>
      <c r="W289" s="63">
        <f t="shared" si="115"/>
        <v>0</v>
      </c>
      <c r="X289" s="62">
        <f t="shared" si="95"/>
        <v>-14.47378507871321</v>
      </c>
    </row>
    <row r="290" spans="1:24" ht="15" customHeight="1">
      <c r="A290" s="36" t="s">
        <v>285</v>
      </c>
      <c r="B290" s="60">
        <f>'Расчет субсидий'!AG290</f>
        <v>-0.19999999999999929</v>
      </c>
      <c r="C290" s="62">
        <f>'Расчет субсидий'!D290-1</f>
        <v>-1</v>
      </c>
      <c r="D290" s="62">
        <f>C290*'Расчет субсидий'!E290</f>
        <v>-10</v>
      </c>
      <c r="E290" s="63">
        <f t="shared" si="111"/>
        <v>-1.1934883720930205</v>
      </c>
      <c r="F290" s="30" t="s">
        <v>376</v>
      </c>
      <c r="G290" s="30" t="s">
        <v>376</v>
      </c>
      <c r="H290" s="30" t="s">
        <v>376</v>
      </c>
      <c r="I290" s="30" t="s">
        <v>376</v>
      </c>
      <c r="J290" s="30" t="s">
        <v>376</v>
      </c>
      <c r="K290" s="30" t="s">
        <v>376</v>
      </c>
      <c r="L290" s="62">
        <f>'Расчет субсидий'!P290-1</f>
        <v>0.41621200311769302</v>
      </c>
      <c r="M290" s="62">
        <f>L290*'Расчет субсидий'!Q290</f>
        <v>8.3242400623538604</v>
      </c>
      <c r="N290" s="63">
        <f t="shared" si="112"/>
        <v>0.99348837209302132</v>
      </c>
      <c r="O290" s="62">
        <f>'Расчет субсидий'!R290-1</f>
        <v>0</v>
      </c>
      <c r="P290" s="62">
        <f>O290*'Расчет субсидий'!S290</f>
        <v>0</v>
      </c>
      <c r="Q290" s="63">
        <f t="shared" si="113"/>
        <v>0</v>
      </c>
      <c r="R290" s="62">
        <f>'Расчет субсидий'!V290-1</f>
        <v>0</v>
      </c>
      <c r="S290" s="62">
        <f>R290*'Расчет субсидий'!W290</f>
        <v>0</v>
      </c>
      <c r="T290" s="63">
        <f t="shared" si="114"/>
        <v>0</v>
      </c>
      <c r="U290" s="62">
        <f>'Расчет субсидий'!Z290-1</f>
        <v>0</v>
      </c>
      <c r="V290" s="62">
        <f>U290*'Расчет субсидий'!AA290</f>
        <v>0</v>
      </c>
      <c r="W290" s="63">
        <f t="shared" si="115"/>
        <v>0</v>
      </c>
      <c r="X290" s="62">
        <f t="shared" si="95"/>
        <v>-1.6757599376461396</v>
      </c>
    </row>
    <row r="291" spans="1:24" ht="15" customHeight="1">
      <c r="A291" s="36" t="s">
        <v>54</v>
      </c>
      <c r="B291" s="60">
        <f>'Расчет субсидий'!AG291</f>
        <v>-3.6363636363637042E-2</v>
      </c>
      <c r="C291" s="62">
        <f>'Расчет субсидий'!D291-1</f>
        <v>1.3242402874315884E-2</v>
      </c>
      <c r="D291" s="62">
        <f>C291*'Расчет субсидий'!E291</f>
        <v>0.13242402874315884</v>
      </c>
      <c r="E291" s="63">
        <f t="shared" si="111"/>
        <v>3.7513309537659145E-3</v>
      </c>
      <c r="F291" s="30" t="s">
        <v>376</v>
      </c>
      <c r="G291" s="30" t="s">
        <v>376</v>
      </c>
      <c r="H291" s="30" t="s">
        <v>376</v>
      </c>
      <c r="I291" s="30" t="s">
        <v>376</v>
      </c>
      <c r="J291" s="30" t="s">
        <v>376</v>
      </c>
      <c r="K291" s="30" t="s">
        <v>376</v>
      </c>
      <c r="L291" s="62">
        <f>'Расчет субсидий'!P291-1</f>
        <v>-0.11300989365642022</v>
      </c>
      <c r="M291" s="62">
        <f>L291*'Расчет субсидий'!Q291</f>
        <v>-2.2601978731284045</v>
      </c>
      <c r="N291" s="63">
        <f t="shared" si="112"/>
        <v>-6.4027279063887346E-2</v>
      </c>
      <c r="O291" s="62">
        <f>'Расчет субсидий'!R291-1</f>
        <v>0</v>
      </c>
      <c r="P291" s="62">
        <f>O291*'Расчет субсидий'!S291</f>
        <v>0</v>
      </c>
      <c r="Q291" s="63">
        <f t="shared" si="113"/>
        <v>0</v>
      </c>
      <c r="R291" s="62">
        <f>'Расчет субсидий'!V291-1</f>
        <v>2.4117647058823577E-2</v>
      </c>
      <c r="S291" s="62">
        <f>R291*'Расчет субсидий'!W291</f>
        <v>0.84411764705882519</v>
      </c>
      <c r="T291" s="63">
        <f t="shared" si="114"/>
        <v>2.391231174648438E-2</v>
      </c>
      <c r="U291" s="62">
        <f>'Расчет субсидий'!Z291-1</f>
        <v>0</v>
      </c>
      <c r="V291" s="62">
        <f>U291*'Расчет субсидий'!AA291</f>
        <v>0</v>
      </c>
      <c r="W291" s="63">
        <f t="shared" si="115"/>
        <v>0</v>
      </c>
      <c r="X291" s="62">
        <f t="shared" si="95"/>
        <v>-1.2836561973264204</v>
      </c>
    </row>
    <row r="292" spans="1:24" ht="15" customHeight="1">
      <c r="A292" s="36" t="s">
        <v>286</v>
      </c>
      <c r="B292" s="60">
        <f>'Расчет субсидий'!AG292</f>
        <v>-7.8636363636363669</v>
      </c>
      <c r="C292" s="62">
        <f>'Расчет субсидий'!D292-1</f>
        <v>0.13469387755102047</v>
      </c>
      <c r="D292" s="62">
        <f>C292*'Расчет субсидий'!E292</f>
        <v>1.3469387755102047</v>
      </c>
      <c r="E292" s="63">
        <f t="shared" si="111"/>
        <v>0.55695545204325236</v>
      </c>
      <c r="F292" s="30" t="s">
        <v>376</v>
      </c>
      <c r="G292" s="30" t="s">
        <v>376</v>
      </c>
      <c r="H292" s="30" t="s">
        <v>376</v>
      </c>
      <c r="I292" s="30" t="s">
        <v>376</v>
      </c>
      <c r="J292" s="30" t="s">
        <v>376</v>
      </c>
      <c r="K292" s="30" t="s">
        <v>376</v>
      </c>
      <c r="L292" s="62">
        <f>'Расчет субсидий'!P292-1</f>
        <v>-0.56321623144843125</v>
      </c>
      <c r="M292" s="62">
        <f>L292*'Расчет субсидий'!Q292</f>
        <v>-11.264324628968625</v>
      </c>
      <c r="N292" s="63">
        <f t="shared" si="112"/>
        <v>-4.6577670267995268</v>
      </c>
      <c r="O292" s="62">
        <f>'Расчет субсидий'!R292-1</f>
        <v>0</v>
      </c>
      <c r="P292" s="62">
        <f>O292*'Расчет субсидий'!S292</f>
        <v>0</v>
      </c>
      <c r="Q292" s="63">
        <f t="shared" si="113"/>
        <v>0</v>
      </c>
      <c r="R292" s="62">
        <f>'Расчет субсидий'!V292-1</f>
        <v>-0.26</v>
      </c>
      <c r="S292" s="62">
        <f>R292*'Расчет субсидий'!W292</f>
        <v>-9.1</v>
      </c>
      <c r="T292" s="63">
        <f t="shared" si="114"/>
        <v>-3.7628247888800925</v>
      </c>
      <c r="U292" s="62">
        <f>'Расчет субсидий'!Z292-1</f>
        <v>0</v>
      </c>
      <c r="V292" s="62">
        <f>U292*'Расчет субсидий'!AA292</f>
        <v>0</v>
      </c>
      <c r="W292" s="63">
        <f t="shared" si="115"/>
        <v>0</v>
      </c>
      <c r="X292" s="62">
        <f t="shared" si="95"/>
        <v>-19.017385853458421</v>
      </c>
    </row>
    <row r="293" spans="1:24" ht="15" customHeight="1">
      <c r="A293" s="36" t="s">
        <v>287</v>
      </c>
      <c r="B293" s="60">
        <f>'Расчет субсидий'!AG293</f>
        <v>1.2272727272727275</v>
      </c>
      <c r="C293" s="62">
        <f>'Расчет субсидий'!D293-1</f>
        <v>-1</v>
      </c>
      <c r="D293" s="62">
        <f>C293*'Расчет субсидий'!E293</f>
        <v>0</v>
      </c>
      <c r="E293" s="63">
        <f t="shared" si="111"/>
        <v>0</v>
      </c>
      <c r="F293" s="30" t="s">
        <v>376</v>
      </c>
      <c r="G293" s="30" t="s">
        <v>376</v>
      </c>
      <c r="H293" s="30" t="s">
        <v>376</v>
      </c>
      <c r="I293" s="30" t="s">
        <v>376</v>
      </c>
      <c r="J293" s="30" t="s">
        <v>376</v>
      </c>
      <c r="K293" s="30" t="s">
        <v>376</v>
      </c>
      <c r="L293" s="62">
        <f>'Расчет субсидий'!P293-1</f>
        <v>-0.37464860720674675</v>
      </c>
      <c r="M293" s="62">
        <f>L293*'Расчет субсидий'!Q293</f>
        <v>-7.4929721441349351</v>
      </c>
      <c r="N293" s="63">
        <f t="shared" si="112"/>
        <v>-0.49946948655908813</v>
      </c>
      <c r="O293" s="62">
        <f>'Расчет субсидий'!R293-1</f>
        <v>0</v>
      </c>
      <c r="P293" s="62">
        <f>O293*'Расчет субсидий'!S293</f>
        <v>0</v>
      </c>
      <c r="Q293" s="63">
        <f t="shared" si="113"/>
        <v>0</v>
      </c>
      <c r="R293" s="62">
        <f>'Расчет субсидий'!V293-1</f>
        <v>0.86347826086956525</v>
      </c>
      <c r="S293" s="62">
        <f>R293*'Расчет субсидий'!W293</f>
        <v>25.904347826086958</v>
      </c>
      <c r="T293" s="63">
        <f t="shared" si="114"/>
        <v>1.7267422138318156</v>
      </c>
      <c r="U293" s="62">
        <f>'Расчет субсидий'!Z293-1</f>
        <v>0</v>
      </c>
      <c r="V293" s="62">
        <f>U293*'Расчет субсидий'!AA293</f>
        <v>0</v>
      </c>
      <c r="W293" s="63">
        <f t="shared" si="115"/>
        <v>0</v>
      </c>
      <c r="X293" s="62">
        <f t="shared" si="95"/>
        <v>18.411375681952023</v>
      </c>
    </row>
    <row r="294" spans="1:24" ht="15" customHeight="1">
      <c r="A294" s="36" t="s">
        <v>288</v>
      </c>
      <c r="B294" s="60">
        <f>'Расчет субсидий'!AG294</f>
        <v>-1.3818181818181809</v>
      </c>
      <c r="C294" s="62">
        <f>'Расчет субсидий'!D294-1</f>
        <v>-1</v>
      </c>
      <c r="D294" s="62">
        <f>C294*'Расчет субсидий'!E294</f>
        <v>0</v>
      </c>
      <c r="E294" s="63">
        <f t="shared" si="111"/>
        <v>0</v>
      </c>
      <c r="F294" s="30" t="s">
        <v>376</v>
      </c>
      <c r="G294" s="30" t="s">
        <v>376</v>
      </c>
      <c r="H294" s="30" t="s">
        <v>376</v>
      </c>
      <c r="I294" s="30" t="s">
        <v>376</v>
      </c>
      <c r="J294" s="30" t="s">
        <v>376</v>
      </c>
      <c r="K294" s="30" t="s">
        <v>376</v>
      </c>
      <c r="L294" s="62">
        <f>'Расчет субсидий'!P294-1</f>
        <v>-0.52045261669024045</v>
      </c>
      <c r="M294" s="62">
        <f>L294*'Расчет субсидий'!Q294</f>
        <v>-10.409052333804809</v>
      </c>
      <c r="N294" s="63">
        <f t="shared" si="112"/>
        <v>-1.3818181818181809</v>
      </c>
      <c r="O294" s="62">
        <f>'Расчет субсидий'!R294-1</f>
        <v>0</v>
      </c>
      <c r="P294" s="62">
        <f>O294*'Расчет субсидий'!S294</f>
        <v>0</v>
      </c>
      <c r="Q294" s="63">
        <f t="shared" si="113"/>
        <v>0</v>
      </c>
      <c r="R294" s="62">
        <f>'Расчет субсидий'!V294-1</f>
        <v>0</v>
      </c>
      <c r="S294" s="62">
        <f>R294*'Расчет субсидий'!W294</f>
        <v>0</v>
      </c>
      <c r="T294" s="63">
        <f t="shared" si="114"/>
        <v>0</v>
      </c>
      <c r="U294" s="62">
        <f>'Расчет субсидий'!Z294-1</f>
        <v>0</v>
      </c>
      <c r="V294" s="62">
        <f>U294*'Расчет субсидий'!AA294</f>
        <v>0</v>
      </c>
      <c r="W294" s="63">
        <f t="shared" si="115"/>
        <v>0</v>
      </c>
      <c r="X294" s="62">
        <f t="shared" si="95"/>
        <v>-10.409052333804809</v>
      </c>
    </row>
    <row r="295" spans="1:24" ht="15" customHeight="1">
      <c r="A295" s="36" t="s">
        <v>289</v>
      </c>
      <c r="B295" s="60">
        <f>'Расчет субсидий'!AG295</f>
        <v>-1.872727272727273</v>
      </c>
      <c r="C295" s="62">
        <f>'Расчет субсидий'!D295-1</f>
        <v>-1</v>
      </c>
      <c r="D295" s="62">
        <f>C295*'Расчет субсидий'!E295</f>
        <v>0</v>
      </c>
      <c r="E295" s="63">
        <f t="shared" si="111"/>
        <v>0</v>
      </c>
      <c r="F295" s="30" t="s">
        <v>376</v>
      </c>
      <c r="G295" s="30" t="s">
        <v>376</v>
      </c>
      <c r="H295" s="30" t="s">
        <v>376</v>
      </c>
      <c r="I295" s="30" t="s">
        <v>376</v>
      </c>
      <c r="J295" s="30" t="s">
        <v>376</v>
      </c>
      <c r="K295" s="30" t="s">
        <v>376</v>
      </c>
      <c r="L295" s="62">
        <f>'Расчет субсидий'!P295-1</f>
        <v>-0.34803598858898388</v>
      </c>
      <c r="M295" s="62">
        <f>L295*'Расчет субсидий'!Q295</f>
        <v>-6.9607197717796776</v>
      </c>
      <c r="N295" s="63">
        <f t="shared" si="112"/>
        <v>-1.0744617841506399</v>
      </c>
      <c r="O295" s="62">
        <f>'Расчет субсидий'!R295-1</f>
        <v>0</v>
      </c>
      <c r="P295" s="62">
        <f>O295*'Расчет субсидий'!S295</f>
        <v>0</v>
      </c>
      <c r="Q295" s="63">
        <f t="shared" si="113"/>
        <v>0</v>
      </c>
      <c r="R295" s="62">
        <f>'Расчет субсидий'!V295-1</f>
        <v>-0.12928571428571423</v>
      </c>
      <c r="S295" s="62">
        <f>R295*'Расчет субсидий'!W295</f>
        <v>-5.171428571428569</v>
      </c>
      <c r="T295" s="63">
        <f t="shared" si="114"/>
        <v>-0.79826548857663315</v>
      </c>
      <c r="U295" s="62">
        <f>'Расчет субсидий'!Z295-1</f>
        <v>0</v>
      </c>
      <c r="V295" s="62">
        <f>U295*'Расчет субсидий'!AA295</f>
        <v>0</v>
      </c>
      <c r="W295" s="63">
        <f t="shared" si="115"/>
        <v>0</v>
      </c>
      <c r="X295" s="62">
        <f t="shared" si="95"/>
        <v>-12.132148343208247</v>
      </c>
    </row>
    <row r="296" spans="1:24" ht="15" customHeight="1">
      <c r="A296" s="36" t="s">
        <v>290</v>
      </c>
      <c r="B296" s="60">
        <f>'Расчет субсидий'!AG296</f>
        <v>-2.1999999999999993</v>
      </c>
      <c r="C296" s="62">
        <f>'Расчет субсидий'!D296-1</f>
        <v>-1</v>
      </c>
      <c r="D296" s="62">
        <f>C296*'Расчет субсидий'!E296</f>
        <v>0</v>
      </c>
      <c r="E296" s="63">
        <f t="shared" si="111"/>
        <v>0</v>
      </c>
      <c r="F296" s="30" t="s">
        <v>376</v>
      </c>
      <c r="G296" s="30" t="s">
        <v>376</v>
      </c>
      <c r="H296" s="30" t="s">
        <v>376</v>
      </c>
      <c r="I296" s="30" t="s">
        <v>376</v>
      </c>
      <c r="J296" s="30" t="s">
        <v>376</v>
      </c>
      <c r="K296" s="30" t="s">
        <v>376</v>
      </c>
      <c r="L296" s="62">
        <f>'Расчет субсидий'!P296-1</f>
        <v>-0.71848739495798319</v>
      </c>
      <c r="M296" s="62">
        <f>L296*'Расчет субсидий'!Q296</f>
        <v>-14.369747899159664</v>
      </c>
      <c r="N296" s="63">
        <f t="shared" si="112"/>
        <v>-2.1999999999999993</v>
      </c>
      <c r="O296" s="62">
        <f>'Расчет субсидий'!R296-1</f>
        <v>0</v>
      </c>
      <c r="P296" s="62">
        <f>O296*'Расчет субсидий'!S296</f>
        <v>0</v>
      </c>
      <c r="Q296" s="63">
        <f t="shared" si="113"/>
        <v>0</v>
      </c>
      <c r="R296" s="62">
        <f>'Расчет субсидий'!V296-1</f>
        <v>0</v>
      </c>
      <c r="S296" s="62">
        <f>R296*'Расчет субсидий'!W296</f>
        <v>0</v>
      </c>
      <c r="T296" s="63">
        <f t="shared" si="114"/>
        <v>0</v>
      </c>
      <c r="U296" s="62">
        <f>'Расчет субсидий'!Z296-1</f>
        <v>0</v>
      </c>
      <c r="V296" s="62">
        <f>U296*'Расчет субсидий'!AA296</f>
        <v>0</v>
      </c>
      <c r="W296" s="63">
        <f t="shared" si="115"/>
        <v>0</v>
      </c>
      <c r="X296" s="62">
        <f t="shared" si="95"/>
        <v>-14.369747899159664</v>
      </c>
    </row>
    <row r="297" spans="1:24" ht="15" customHeight="1">
      <c r="A297" s="36" t="s">
        <v>291</v>
      </c>
      <c r="B297" s="60">
        <f>'Расчет субсидий'!AG297</f>
        <v>-10.272727272727273</v>
      </c>
      <c r="C297" s="62">
        <f>'Расчет субсидий'!D297-1</f>
        <v>-0.85909090909090913</v>
      </c>
      <c r="D297" s="62">
        <f>C297*'Расчет субсидий'!E297</f>
        <v>-8.5909090909090917</v>
      </c>
      <c r="E297" s="63">
        <f t="shared" si="111"/>
        <v>-5.3430470592267776</v>
      </c>
      <c r="F297" s="30" t="s">
        <v>376</v>
      </c>
      <c r="G297" s="30" t="s">
        <v>376</v>
      </c>
      <c r="H297" s="30" t="s">
        <v>376</v>
      </c>
      <c r="I297" s="30" t="s">
        <v>376</v>
      </c>
      <c r="J297" s="30" t="s">
        <v>376</v>
      </c>
      <c r="K297" s="30" t="s">
        <v>376</v>
      </c>
      <c r="L297" s="62">
        <f>'Расчет субсидий'!P297-1</f>
        <v>-0.44006350886477907</v>
      </c>
      <c r="M297" s="62">
        <f>L297*'Расчет субсидий'!Q297</f>
        <v>-8.8012701772955815</v>
      </c>
      <c r="N297" s="63">
        <f t="shared" si="112"/>
        <v>-5.4738794510143327</v>
      </c>
      <c r="O297" s="62">
        <f>'Расчет субсидий'!R297-1</f>
        <v>0</v>
      </c>
      <c r="P297" s="62">
        <f>O297*'Расчет субсидий'!S297</f>
        <v>0</v>
      </c>
      <c r="Q297" s="63">
        <f t="shared" si="113"/>
        <v>0</v>
      </c>
      <c r="R297" s="62">
        <f>'Расчет субсидий'!V297-1</f>
        <v>2.4999999999999911E-2</v>
      </c>
      <c r="S297" s="62">
        <f>R297*'Расчет субсидий'!W297</f>
        <v>0.87499999999999689</v>
      </c>
      <c r="T297" s="63">
        <f t="shared" si="114"/>
        <v>0.54419923751383659</v>
      </c>
      <c r="U297" s="62">
        <f>'Расчет субсидий'!Z297-1</f>
        <v>0</v>
      </c>
      <c r="V297" s="62">
        <f>U297*'Расчет субсидий'!AA297</f>
        <v>0</v>
      </c>
      <c r="W297" s="63">
        <f t="shared" si="115"/>
        <v>0</v>
      </c>
      <c r="X297" s="62">
        <f t="shared" si="95"/>
        <v>-16.517179268204675</v>
      </c>
    </row>
    <row r="298" spans="1:24" ht="15" customHeight="1">
      <c r="A298" s="36" t="s">
        <v>292</v>
      </c>
      <c r="B298" s="60">
        <f>'Расчет субсидий'!AG298</f>
        <v>-1.2727272727272734</v>
      </c>
      <c r="C298" s="62">
        <f>'Расчет субсидий'!D298-1</f>
        <v>-1</v>
      </c>
      <c r="D298" s="62">
        <f>C298*'Расчет субсидий'!E298</f>
        <v>0</v>
      </c>
      <c r="E298" s="63">
        <f t="shared" si="111"/>
        <v>0</v>
      </c>
      <c r="F298" s="30" t="s">
        <v>376</v>
      </c>
      <c r="G298" s="30" t="s">
        <v>376</v>
      </c>
      <c r="H298" s="30" t="s">
        <v>376</v>
      </c>
      <c r="I298" s="30" t="s">
        <v>376</v>
      </c>
      <c r="J298" s="30" t="s">
        <v>376</v>
      </c>
      <c r="K298" s="30" t="s">
        <v>376</v>
      </c>
      <c r="L298" s="62">
        <f>'Расчет субсидий'!P298-1</f>
        <v>-0.35254013635363979</v>
      </c>
      <c r="M298" s="62">
        <f>L298*'Расчет субсидий'!Q298</f>
        <v>-7.0508027270727958</v>
      </c>
      <c r="N298" s="63">
        <f t="shared" si="112"/>
        <v>-1.2727272727272734</v>
      </c>
      <c r="O298" s="62">
        <f>'Расчет субсидий'!R298-1</f>
        <v>0</v>
      </c>
      <c r="P298" s="62">
        <f>O298*'Расчет субсидий'!S298</f>
        <v>0</v>
      </c>
      <c r="Q298" s="63">
        <f t="shared" si="113"/>
        <v>0</v>
      </c>
      <c r="R298" s="62">
        <f>'Расчет субсидий'!V298-1</f>
        <v>0</v>
      </c>
      <c r="S298" s="62">
        <f>R298*'Расчет субсидий'!W298</f>
        <v>0</v>
      </c>
      <c r="T298" s="63">
        <f t="shared" si="114"/>
        <v>0</v>
      </c>
      <c r="U298" s="62">
        <f>'Расчет субсидий'!Z298-1</f>
        <v>0</v>
      </c>
      <c r="V298" s="62">
        <f>U298*'Расчет субсидий'!AA298</f>
        <v>0</v>
      </c>
      <c r="W298" s="63">
        <f t="shared" si="115"/>
        <v>0</v>
      </c>
      <c r="X298" s="62">
        <f t="shared" si="95"/>
        <v>-7.0508027270727958</v>
      </c>
    </row>
    <row r="299" spans="1:24" ht="15" customHeight="1">
      <c r="A299" s="36" t="s">
        <v>293</v>
      </c>
      <c r="B299" s="60">
        <f>'Расчет субсидий'!AG299</f>
        <v>-0.32727272727272716</v>
      </c>
      <c r="C299" s="62">
        <f>'Расчет субсидий'!D299-1</f>
        <v>-0.28166666666666662</v>
      </c>
      <c r="D299" s="62">
        <f>C299*'Расчет субсидий'!E299</f>
        <v>-2.8166666666666664</v>
      </c>
      <c r="E299" s="63">
        <f t="shared" si="111"/>
        <v>-0.18439603688622994</v>
      </c>
      <c r="F299" s="30" t="s">
        <v>376</v>
      </c>
      <c r="G299" s="30" t="s">
        <v>376</v>
      </c>
      <c r="H299" s="30" t="s">
        <v>376</v>
      </c>
      <c r="I299" s="30" t="s">
        <v>376</v>
      </c>
      <c r="J299" s="30" t="s">
        <v>376</v>
      </c>
      <c r="K299" s="30" t="s">
        <v>376</v>
      </c>
      <c r="L299" s="62">
        <f>'Расчет субсидий'!P299-1</f>
        <v>-0.10912273876677692</v>
      </c>
      <c r="M299" s="62">
        <f>L299*'Расчет субсидий'!Q299</f>
        <v>-2.1824547753355383</v>
      </c>
      <c r="N299" s="63">
        <f t="shared" si="112"/>
        <v>-0.14287669038649725</v>
      </c>
      <c r="O299" s="62">
        <f>'Расчет субсидий'!R299-1</f>
        <v>0</v>
      </c>
      <c r="P299" s="62">
        <f>O299*'Расчет субсидий'!S299</f>
        <v>0</v>
      </c>
      <c r="Q299" s="63">
        <f t="shared" si="113"/>
        <v>0</v>
      </c>
      <c r="R299" s="62">
        <f>'Расчет субсидий'!V299-1</f>
        <v>0</v>
      </c>
      <c r="S299" s="62">
        <f>R299*'Расчет субсидий'!W299</f>
        <v>0</v>
      </c>
      <c r="T299" s="63">
        <f t="shared" si="114"/>
        <v>0</v>
      </c>
      <c r="U299" s="62">
        <f>'Расчет субсидий'!Z299-1</f>
        <v>0</v>
      </c>
      <c r="V299" s="62">
        <f>U299*'Расчет субсидий'!AA299</f>
        <v>0</v>
      </c>
      <c r="W299" s="63">
        <f t="shared" si="115"/>
        <v>0</v>
      </c>
      <c r="X299" s="62">
        <f t="shared" si="95"/>
        <v>-4.9991214420022043</v>
      </c>
    </row>
    <row r="300" spans="1:24" ht="15" customHeight="1">
      <c r="A300" s="36" t="s">
        <v>294</v>
      </c>
      <c r="B300" s="60">
        <f>'Расчет субсидий'!AG300</f>
        <v>1.3454545454545475</v>
      </c>
      <c r="C300" s="62">
        <f>'Расчет субсидий'!D300-1</f>
        <v>0.3620000000000001</v>
      </c>
      <c r="D300" s="62">
        <f>C300*'Расчет субсидий'!E300</f>
        <v>3.620000000000001</v>
      </c>
      <c r="E300" s="63">
        <f t="shared" si="111"/>
        <v>0.64969156031563302</v>
      </c>
      <c r="F300" s="30" t="s">
        <v>376</v>
      </c>
      <c r="G300" s="30" t="s">
        <v>376</v>
      </c>
      <c r="H300" s="30" t="s">
        <v>376</v>
      </c>
      <c r="I300" s="30" t="s">
        <v>376</v>
      </c>
      <c r="J300" s="30" t="s">
        <v>376</v>
      </c>
      <c r="K300" s="30" t="s">
        <v>376</v>
      </c>
      <c r="L300" s="62">
        <f>'Расчет субсидий'!P300-1</f>
        <v>0.19383521043272101</v>
      </c>
      <c r="M300" s="62">
        <f>L300*'Расчет субсидий'!Q300</f>
        <v>3.8767042086544201</v>
      </c>
      <c r="N300" s="63">
        <f t="shared" si="112"/>
        <v>0.69576298513891455</v>
      </c>
      <c r="O300" s="62">
        <f>'Расчет субсидий'!R300-1</f>
        <v>0</v>
      </c>
      <c r="P300" s="62">
        <f>O300*'Расчет субсидий'!S300</f>
        <v>0</v>
      </c>
      <c r="Q300" s="63">
        <f t="shared" si="113"/>
        <v>0</v>
      </c>
      <c r="R300" s="62">
        <f>'Расчет субсидий'!V300-1</f>
        <v>0</v>
      </c>
      <c r="S300" s="62">
        <f>R300*'Расчет субсидий'!W300</f>
        <v>0</v>
      </c>
      <c r="T300" s="63">
        <f t="shared" si="114"/>
        <v>0</v>
      </c>
      <c r="U300" s="62">
        <f>'Расчет субсидий'!Z300-1</f>
        <v>0</v>
      </c>
      <c r="V300" s="62">
        <f>U300*'Расчет субсидий'!AA300</f>
        <v>0</v>
      </c>
      <c r="W300" s="63">
        <f t="shared" si="115"/>
        <v>0</v>
      </c>
      <c r="X300" s="62">
        <f t="shared" si="95"/>
        <v>7.4967042086544211</v>
      </c>
    </row>
    <row r="301" spans="1:24" ht="15" customHeight="1">
      <c r="A301" s="36" t="s">
        <v>295</v>
      </c>
      <c r="B301" s="60">
        <f>'Расчет субсидий'!AG301</f>
        <v>-0.41818181818181843</v>
      </c>
      <c r="C301" s="62">
        <f>'Расчет субсидий'!D301-1</f>
        <v>-1</v>
      </c>
      <c r="D301" s="62">
        <f>C301*'Расчет субсидий'!E301</f>
        <v>0</v>
      </c>
      <c r="E301" s="63">
        <f t="shared" si="111"/>
        <v>0</v>
      </c>
      <c r="F301" s="30" t="s">
        <v>376</v>
      </c>
      <c r="G301" s="30" t="s">
        <v>376</v>
      </c>
      <c r="H301" s="30" t="s">
        <v>376</v>
      </c>
      <c r="I301" s="30" t="s">
        <v>376</v>
      </c>
      <c r="J301" s="30" t="s">
        <v>376</v>
      </c>
      <c r="K301" s="30" t="s">
        <v>376</v>
      </c>
      <c r="L301" s="62">
        <f>'Расчет субсидий'!P301-1</f>
        <v>-0.41361065498996541</v>
      </c>
      <c r="M301" s="62">
        <f>L301*'Расчет субсидий'!Q301</f>
        <v>-8.2722130997993091</v>
      </c>
      <c r="N301" s="63">
        <f t="shared" si="112"/>
        <v>-0.41818181818181843</v>
      </c>
      <c r="O301" s="62">
        <f>'Расчет субсидий'!R301-1</f>
        <v>0</v>
      </c>
      <c r="P301" s="62">
        <f>O301*'Расчет субсидий'!S301</f>
        <v>0</v>
      </c>
      <c r="Q301" s="63">
        <f t="shared" si="113"/>
        <v>0</v>
      </c>
      <c r="R301" s="62">
        <f>'Расчет субсидий'!V301-1</f>
        <v>0</v>
      </c>
      <c r="S301" s="62">
        <f>R301*'Расчет субсидий'!W301</f>
        <v>0</v>
      </c>
      <c r="T301" s="63">
        <f t="shared" si="114"/>
        <v>0</v>
      </c>
      <c r="U301" s="62">
        <f>'Расчет субсидий'!Z301-1</f>
        <v>0</v>
      </c>
      <c r="V301" s="62">
        <f>U301*'Расчет субсидий'!AA301</f>
        <v>0</v>
      </c>
      <c r="W301" s="63">
        <f t="shared" si="115"/>
        <v>0</v>
      </c>
      <c r="X301" s="62">
        <f t="shared" si="95"/>
        <v>-8.2722130997993091</v>
      </c>
    </row>
    <row r="302" spans="1:24" ht="15" customHeight="1">
      <c r="A302" s="36" t="s">
        <v>296</v>
      </c>
      <c r="B302" s="60">
        <f>'Расчет субсидий'!AG302</f>
        <v>2.709090909090909</v>
      </c>
      <c r="C302" s="62">
        <f>'Расчет субсидий'!D302-1</f>
        <v>0.45318518518518514</v>
      </c>
      <c r="D302" s="62">
        <f>C302*'Расчет субсидий'!E302</f>
        <v>4.5318518518518509</v>
      </c>
      <c r="E302" s="63">
        <f t="shared" si="111"/>
        <v>0.53474950134867594</v>
      </c>
      <c r="F302" s="30" t="s">
        <v>376</v>
      </c>
      <c r="G302" s="30" t="s">
        <v>376</v>
      </c>
      <c r="H302" s="30" t="s">
        <v>376</v>
      </c>
      <c r="I302" s="30" t="s">
        <v>376</v>
      </c>
      <c r="J302" s="30" t="s">
        <v>376</v>
      </c>
      <c r="K302" s="30" t="s">
        <v>376</v>
      </c>
      <c r="L302" s="62">
        <f>'Расчет субсидий'!P302-1</f>
        <v>0.9213466408461195</v>
      </c>
      <c r="M302" s="62">
        <f>L302*'Расчет субсидий'!Q302</f>
        <v>18.426932816922388</v>
      </c>
      <c r="N302" s="63">
        <f t="shared" si="112"/>
        <v>2.1743414077422329</v>
      </c>
      <c r="O302" s="62">
        <f>'Расчет субсидий'!R302-1</f>
        <v>0</v>
      </c>
      <c r="P302" s="62">
        <f>O302*'Расчет субсидий'!S302</f>
        <v>0</v>
      </c>
      <c r="Q302" s="63">
        <f t="shared" si="113"/>
        <v>0</v>
      </c>
      <c r="R302" s="62">
        <f>'Расчет субсидий'!V302-1</f>
        <v>0</v>
      </c>
      <c r="S302" s="62">
        <f>R302*'Расчет субсидий'!W302</f>
        <v>0</v>
      </c>
      <c r="T302" s="63">
        <f t="shared" si="114"/>
        <v>0</v>
      </c>
      <c r="U302" s="62">
        <f>'Расчет субсидий'!Z302-1</f>
        <v>0</v>
      </c>
      <c r="V302" s="62">
        <f>U302*'Расчет субсидий'!AA302</f>
        <v>0</v>
      </c>
      <c r="W302" s="63">
        <f t="shared" si="115"/>
        <v>0</v>
      </c>
      <c r="X302" s="62">
        <f t="shared" si="95"/>
        <v>22.958784668774239</v>
      </c>
    </row>
    <row r="303" spans="1:24" ht="15" customHeight="1">
      <c r="A303" s="36" t="s">
        <v>297</v>
      </c>
      <c r="B303" s="60">
        <f>'Расчет субсидий'!AG303</f>
        <v>-0.9818181818181817</v>
      </c>
      <c r="C303" s="62">
        <f>'Расчет субсидий'!D303-1</f>
        <v>-3.0641666666666678E-2</v>
      </c>
      <c r="D303" s="62">
        <f>C303*'Расчет субсидий'!E303</f>
        <v>-0.30641666666666678</v>
      </c>
      <c r="E303" s="63">
        <f t="shared" si="111"/>
        <v>-7.2893779765549286E-3</v>
      </c>
      <c r="F303" s="30" t="s">
        <v>376</v>
      </c>
      <c r="G303" s="30" t="s">
        <v>376</v>
      </c>
      <c r="H303" s="30" t="s">
        <v>376</v>
      </c>
      <c r="I303" s="30" t="s">
        <v>376</v>
      </c>
      <c r="J303" s="30" t="s">
        <v>376</v>
      </c>
      <c r="K303" s="30" t="s">
        <v>376</v>
      </c>
      <c r="L303" s="62">
        <f>'Расчет субсидий'!P303-1</f>
        <v>-0.51493380690991275</v>
      </c>
      <c r="M303" s="62">
        <f>L303*'Расчет субсидий'!Q303</f>
        <v>-10.298676138198255</v>
      </c>
      <c r="N303" s="63">
        <f t="shared" si="112"/>
        <v>-0.24499627858402206</v>
      </c>
      <c r="O303" s="62">
        <f>'Расчет субсидий'!R303-1</f>
        <v>0</v>
      </c>
      <c r="P303" s="62">
        <f>O303*'Расчет субсидий'!S303</f>
        <v>0</v>
      </c>
      <c r="Q303" s="63">
        <f t="shared" si="113"/>
        <v>0</v>
      </c>
      <c r="R303" s="62">
        <f>'Расчет субсидий'!V303-1</f>
        <v>-0.76666666666666672</v>
      </c>
      <c r="S303" s="62">
        <f>R303*'Расчет субсидий'!W303</f>
        <v>-30.666666666666668</v>
      </c>
      <c r="T303" s="63">
        <f t="shared" si="114"/>
        <v>-0.7295325252576047</v>
      </c>
      <c r="U303" s="62">
        <f>'Расчет субсидий'!Z303-1</f>
        <v>0</v>
      </c>
      <c r="V303" s="62">
        <f>U303*'Расчет субсидий'!AA303</f>
        <v>0</v>
      </c>
      <c r="W303" s="63">
        <f t="shared" si="115"/>
        <v>0</v>
      </c>
      <c r="X303" s="62">
        <f t="shared" si="95"/>
        <v>-41.271759471531588</v>
      </c>
    </row>
    <row r="304" spans="1:24" ht="15" customHeight="1">
      <c r="A304" s="36" t="s">
        <v>298</v>
      </c>
      <c r="B304" s="60">
        <f>'Расчет субсидий'!AG304</f>
        <v>0.21818181818181803</v>
      </c>
      <c r="C304" s="62">
        <f>'Расчет субсидий'!D304-1</f>
        <v>0.82160094173042975</v>
      </c>
      <c r="D304" s="62">
        <f>C304*'Расчет субсидий'!E304</f>
        <v>8.2160094173042975</v>
      </c>
      <c r="E304" s="63">
        <f t="shared" si="111"/>
        <v>8.9453979587253374E-2</v>
      </c>
      <c r="F304" s="30" t="s">
        <v>376</v>
      </c>
      <c r="G304" s="30" t="s">
        <v>376</v>
      </c>
      <c r="H304" s="30" t="s">
        <v>376</v>
      </c>
      <c r="I304" s="30" t="s">
        <v>376</v>
      </c>
      <c r="J304" s="30" t="s">
        <v>376</v>
      </c>
      <c r="K304" s="30" t="s">
        <v>376</v>
      </c>
      <c r="L304" s="62">
        <f>'Расчет субсидий'!P304-1</f>
        <v>0.59115823524126165</v>
      </c>
      <c r="M304" s="62">
        <f>L304*'Расчет субсидий'!Q304</f>
        <v>11.823164704825233</v>
      </c>
      <c r="N304" s="63">
        <f t="shared" si="112"/>
        <v>0.12872783859456466</v>
      </c>
      <c r="O304" s="62">
        <f>'Расчет субсидий'!R304-1</f>
        <v>0</v>
      </c>
      <c r="P304" s="62">
        <f>O304*'Расчет субсидий'!S304</f>
        <v>0</v>
      </c>
      <c r="Q304" s="63">
        <f t="shared" si="113"/>
        <v>0</v>
      </c>
      <c r="R304" s="62">
        <f>'Расчет субсидий'!V304-1</f>
        <v>0</v>
      </c>
      <c r="S304" s="62">
        <f>R304*'Расчет субсидий'!W304</f>
        <v>0</v>
      </c>
      <c r="T304" s="63">
        <f t="shared" si="114"/>
        <v>0</v>
      </c>
      <c r="U304" s="62">
        <f>'Расчет субсидий'!Z304-1</f>
        <v>0</v>
      </c>
      <c r="V304" s="62">
        <f>U304*'Расчет субсидий'!AA304</f>
        <v>0</v>
      </c>
      <c r="W304" s="63">
        <f t="shared" si="115"/>
        <v>0</v>
      </c>
      <c r="X304" s="62">
        <f t="shared" ref="X304:X367" si="116">D304+M304+P304+S304+V304</f>
        <v>20.039174122129531</v>
      </c>
    </row>
    <row r="305" spans="1:24" ht="15" customHeight="1">
      <c r="A305" s="36" t="s">
        <v>299</v>
      </c>
      <c r="B305" s="60">
        <f>'Расчет субсидий'!AG305</f>
        <v>1.036363636363637</v>
      </c>
      <c r="C305" s="62">
        <f>'Расчет субсидий'!D305-1</f>
        <v>-1</v>
      </c>
      <c r="D305" s="62">
        <f>C305*'Расчет субсидий'!E305</f>
        <v>0</v>
      </c>
      <c r="E305" s="63">
        <f t="shared" si="111"/>
        <v>0</v>
      </c>
      <c r="F305" s="30" t="s">
        <v>376</v>
      </c>
      <c r="G305" s="30" t="s">
        <v>376</v>
      </c>
      <c r="H305" s="30" t="s">
        <v>376</v>
      </c>
      <c r="I305" s="30" t="s">
        <v>376</v>
      </c>
      <c r="J305" s="30" t="s">
        <v>376</v>
      </c>
      <c r="K305" s="30" t="s">
        <v>376</v>
      </c>
      <c r="L305" s="62">
        <f>'Расчет субсидий'!P305-1</f>
        <v>0.5695461200585652</v>
      </c>
      <c r="M305" s="62">
        <f>L305*'Расчет субсидий'!Q305</f>
        <v>11.390922401171304</v>
      </c>
      <c r="N305" s="63">
        <f t="shared" si="112"/>
        <v>1.036363636363637</v>
      </c>
      <c r="O305" s="62">
        <f>'Расчет субсидий'!R305-1</f>
        <v>0</v>
      </c>
      <c r="P305" s="62">
        <f>O305*'Расчет субсидий'!S305</f>
        <v>0</v>
      </c>
      <c r="Q305" s="63">
        <f t="shared" si="113"/>
        <v>0</v>
      </c>
      <c r="R305" s="62">
        <f>'Расчет субсидий'!V305-1</f>
        <v>0</v>
      </c>
      <c r="S305" s="62">
        <f>R305*'Расчет субсидий'!W305</f>
        <v>0</v>
      </c>
      <c r="T305" s="63">
        <f t="shared" si="114"/>
        <v>0</v>
      </c>
      <c r="U305" s="62">
        <f>'Расчет субсидий'!Z305-1</f>
        <v>0</v>
      </c>
      <c r="V305" s="62">
        <f>U305*'Расчет субсидий'!AA305</f>
        <v>0</v>
      </c>
      <c r="W305" s="63">
        <f t="shared" si="115"/>
        <v>0</v>
      </c>
      <c r="X305" s="62">
        <f t="shared" si="116"/>
        <v>11.390922401171304</v>
      </c>
    </row>
    <row r="306" spans="1:24" ht="15" customHeight="1">
      <c r="A306" s="36" t="s">
        <v>300</v>
      </c>
      <c r="B306" s="60">
        <f>'Расчет субсидий'!AG306</f>
        <v>-0.30909090909090864</v>
      </c>
      <c r="C306" s="62">
        <f>'Расчет субсидий'!D306-1</f>
        <v>0.4435555555555557</v>
      </c>
      <c r="D306" s="62">
        <f>C306*'Расчет субсидий'!E306</f>
        <v>4.435555555555557</v>
      </c>
      <c r="E306" s="63">
        <f t="shared" si="111"/>
        <v>0.46388887036431875</v>
      </c>
      <c r="F306" s="30" t="s">
        <v>376</v>
      </c>
      <c r="G306" s="30" t="s">
        <v>376</v>
      </c>
      <c r="H306" s="30" t="s">
        <v>376</v>
      </c>
      <c r="I306" s="30" t="s">
        <v>376</v>
      </c>
      <c r="J306" s="30" t="s">
        <v>376</v>
      </c>
      <c r="K306" s="30" t="s">
        <v>376</v>
      </c>
      <c r="L306" s="62">
        <f>'Расчет субсидий'!P306-1</f>
        <v>-0.36954915003695488</v>
      </c>
      <c r="M306" s="62">
        <f>L306*'Расчет субсидий'!Q306</f>
        <v>-7.390983000739098</v>
      </c>
      <c r="N306" s="63">
        <f t="shared" si="112"/>
        <v>-0.77297977945522744</v>
      </c>
      <c r="O306" s="62">
        <f>'Расчет субсидий'!R306-1</f>
        <v>0</v>
      </c>
      <c r="P306" s="62">
        <f>O306*'Расчет субсидий'!S306</f>
        <v>0</v>
      </c>
      <c r="Q306" s="63">
        <f t="shared" si="113"/>
        <v>0</v>
      </c>
      <c r="R306" s="62">
        <f>'Расчет субсидий'!V306-1</f>
        <v>0</v>
      </c>
      <c r="S306" s="62">
        <f>R306*'Расчет субсидий'!W306</f>
        <v>0</v>
      </c>
      <c r="T306" s="63">
        <f t="shared" si="114"/>
        <v>0</v>
      </c>
      <c r="U306" s="62">
        <f>'Расчет субсидий'!Z306-1</f>
        <v>0</v>
      </c>
      <c r="V306" s="62">
        <f>U306*'Расчет субсидий'!AA306</f>
        <v>0</v>
      </c>
      <c r="W306" s="63">
        <f t="shared" si="115"/>
        <v>0</v>
      </c>
      <c r="X306" s="62">
        <f t="shared" si="116"/>
        <v>-2.9554274451835409</v>
      </c>
    </row>
    <row r="307" spans="1:24" ht="15" customHeight="1">
      <c r="A307" s="36" t="s">
        <v>301</v>
      </c>
      <c r="B307" s="60">
        <f>'Расчет субсидий'!AG307</f>
        <v>-1.0909090909090917</v>
      </c>
      <c r="C307" s="62">
        <f>'Расчет субсидий'!D307-1</f>
        <v>-0.34178571428571425</v>
      </c>
      <c r="D307" s="62">
        <f>C307*'Расчет субсидий'!E307</f>
        <v>-3.4178571428571427</v>
      </c>
      <c r="E307" s="63">
        <f t="shared" si="111"/>
        <v>-0.32901467609284102</v>
      </c>
      <c r="F307" s="30" t="s">
        <v>376</v>
      </c>
      <c r="G307" s="30" t="s">
        <v>376</v>
      </c>
      <c r="H307" s="30" t="s">
        <v>376</v>
      </c>
      <c r="I307" s="30" t="s">
        <v>376</v>
      </c>
      <c r="J307" s="30" t="s">
        <v>376</v>
      </c>
      <c r="K307" s="30" t="s">
        <v>376</v>
      </c>
      <c r="L307" s="62">
        <f>'Расчет субсидий'!P307-1</f>
        <v>-0.39573405945087359</v>
      </c>
      <c r="M307" s="62">
        <f>L307*'Расчет субсидий'!Q307</f>
        <v>-7.9146811890174718</v>
      </c>
      <c r="N307" s="63">
        <f t="shared" si="112"/>
        <v>-0.76189441481625075</v>
      </c>
      <c r="O307" s="62">
        <f>'Расчет субсидий'!R307-1</f>
        <v>0</v>
      </c>
      <c r="P307" s="62">
        <f>O307*'Расчет субсидий'!S307</f>
        <v>0</v>
      </c>
      <c r="Q307" s="63">
        <f t="shared" si="113"/>
        <v>0</v>
      </c>
      <c r="R307" s="62">
        <f>'Расчет субсидий'!V307-1</f>
        <v>0</v>
      </c>
      <c r="S307" s="62">
        <f>R307*'Расчет субсидий'!W307</f>
        <v>0</v>
      </c>
      <c r="T307" s="63">
        <f t="shared" si="114"/>
        <v>0</v>
      </c>
      <c r="U307" s="62">
        <f>'Расчет субсидий'!Z307-1</f>
        <v>0</v>
      </c>
      <c r="V307" s="62">
        <f>U307*'Расчет субсидий'!AA307</f>
        <v>0</v>
      </c>
      <c r="W307" s="63">
        <f t="shared" si="115"/>
        <v>0</v>
      </c>
      <c r="X307" s="62">
        <f t="shared" si="116"/>
        <v>-11.332538331874614</v>
      </c>
    </row>
    <row r="308" spans="1:24" ht="15" customHeight="1">
      <c r="A308" s="36" t="s">
        <v>302</v>
      </c>
      <c r="B308" s="60">
        <f>'Расчет субсидий'!AG308</f>
        <v>-3.1090909090909093</v>
      </c>
      <c r="C308" s="62">
        <f>'Расчет субсидий'!D308-1</f>
        <v>-0.11342339684974334</v>
      </c>
      <c r="D308" s="62">
        <f>C308*'Расчет субсидий'!E308</f>
        <v>-1.1342339684974334</v>
      </c>
      <c r="E308" s="63">
        <f t="shared" si="111"/>
        <v>-7.1052253127277157E-2</v>
      </c>
      <c r="F308" s="30" t="s">
        <v>376</v>
      </c>
      <c r="G308" s="30" t="s">
        <v>376</v>
      </c>
      <c r="H308" s="30" t="s">
        <v>376</v>
      </c>
      <c r="I308" s="30" t="s">
        <v>376</v>
      </c>
      <c r="J308" s="30" t="s">
        <v>376</v>
      </c>
      <c r="K308" s="30" t="s">
        <v>376</v>
      </c>
      <c r="L308" s="62">
        <f>'Расчет субсидий'!P308-1</f>
        <v>-0.42486795952102574</v>
      </c>
      <c r="M308" s="62">
        <f>L308*'Расчет субсидий'!Q308</f>
        <v>-8.4973591904205144</v>
      </c>
      <c r="N308" s="63">
        <f t="shared" si="112"/>
        <v>-0.53230332795531976</v>
      </c>
      <c r="O308" s="62">
        <f>'Расчет субсидий'!R308-1</f>
        <v>0</v>
      </c>
      <c r="P308" s="62">
        <f>O308*'Расчет субсидий'!S308</f>
        <v>0</v>
      </c>
      <c r="Q308" s="63">
        <f t="shared" si="113"/>
        <v>0</v>
      </c>
      <c r="R308" s="62">
        <f>'Расчет субсидий'!V308-1</f>
        <v>-1</v>
      </c>
      <c r="S308" s="62">
        <f>R308*'Расчет субсидий'!W308</f>
        <v>-40</v>
      </c>
      <c r="T308" s="63">
        <f t="shared" si="114"/>
        <v>-2.5057353280083121</v>
      </c>
      <c r="U308" s="62">
        <f>'Расчет субсидий'!Z308-1</f>
        <v>0</v>
      </c>
      <c r="V308" s="62">
        <f>U308*'Расчет субсидий'!AA308</f>
        <v>0</v>
      </c>
      <c r="W308" s="63">
        <f t="shared" si="115"/>
        <v>0</v>
      </c>
      <c r="X308" s="62">
        <f t="shared" si="116"/>
        <v>-49.631593158917951</v>
      </c>
    </row>
    <row r="309" spans="1:24" ht="15" customHeight="1">
      <c r="A309" s="36" t="s">
        <v>303</v>
      </c>
      <c r="B309" s="60">
        <f>'Расчет субсидий'!AG309</f>
        <v>0.73636363636363633</v>
      </c>
      <c r="C309" s="62">
        <f>'Расчет субсидий'!D309-1</f>
        <v>-0.2451940515052593</v>
      </c>
      <c r="D309" s="62">
        <f>C309*'Расчет субсидий'!E309</f>
        <v>-2.451940515052593</v>
      </c>
      <c r="E309" s="63">
        <f t="shared" si="111"/>
        <v>-0.26753041527214361</v>
      </c>
      <c r="F309" s="30" t="s">
        <v>376</v>
      </c>
      <c r="G309" s="30" t="s">
        <v>376</v>
      </c>
      <c r="H309" s="30" t="s">
        <v>376</v>
      </c>
      <c r="I309" s="30" t="s">
        <v>376</v>
      </c>
      <c r="J309" s="30" t="s">
        <v>376</v>
      </c>
      <c r="K309" s="30" t="s">
        <v>376</v>
      </c>
      <c r="L309" s="62">
        <f>'Расчет субсидий'!P309-1</f>
        <v>-8.2514190779454433E-2</v>
      </c>
      <c r="M309" s="62">
        <f>L309*'Расчет субсидий'!Q309</f>
        <v>-1.6502838155890887</v>
      </c>
      <c r="N309" s="63">
        <f t="shared" si="112"/>
        <v>-0.18006191903557517</v>
      </c>
      <c r="O309" s="62">
        <f>'Расчет субсидий'!R309-1</f>
        <v>0</v>
      </c>
      <c r="P309" s="62">
        <f>O309*'Расчет субсидий'!S309</f>
        <v>0</v>
      </c>
      <c r="Q309" s="63">
        <f t="shared" si="113"/>
        <v>0</v>
      </c>
      <c r="R309" s="62">
        <f>'Расчет субсидий'!V309-1</f>
        <v>0.36170212765957444</v>
      </c>
      <c r="S309" s="62">
        <f>R309*'Расчет субсидий'!W309</f>
        <v>10.851063829787233</v>
      </c>
      <c r="T309" s="63">
        <f t="shared" si="114"/>
        <v>1.1839559706713552</v>
      </c>
      <c r="U309" s="62">
        <f>'Расчет субсидий'!Z309-1</f>
        <v>0</v>
      </c>
      <c r="V309" s="62">
        <f>U309*'Расчет субсидий'!AA309</f>
        <v>0</v>
      </c>
      <c r="W309" s="63">
        <f t="shared" si="115"/>
        <v>0</v>
      </c>
      <c r="X309" s="62">
        <f t="shared" si="116"/>
        <v>6.7488394991455509</v>
      </c>
    </row>
    <row r="310" spans="1:24" ht="15" customHeight="1">
      <c r="A310" s="36" t="s">
        <v>304</v>
      </c>
      <c r="B310" s="60">
        <f>'Расчет субсидий'!AG310</f>
        <v>11.127272727272739</v>
      </c>
      <c r="C310" s="62">
        <f>'Расчет субсидий'!D310-1</f>
        <v>0.20485287023637233</v>
      </c>
      <c r="D310" s="62">
        <f>C310*'Расчет субсидий'!E310</f>
        <v>2.0485287023637233</v>
      </c>
      <c r="E310" s="63">
        <f t="shared" si="111"/>
        <v>1.5515901396299401</v>
      </c>
      <c r="F310" s="30" t="s">
        <v>376</v>
      </c>
      <c r="G310" s="30" t="s">
        <v>376</v>
      </c>
      <c r="H310" s="30" t="s">
        <v>376</v>
      </c>
      <c r="I310" s="30" t="s">
        <v>376</v>
      </c>
      <c r="J310" s="30" t="s">
        <v>376</v>
      </c>
      <c r="K310" s="30" t="s">
        <v>376</v>
      </c>
      <c r="L310" s="62">
        <f>'Расчет субсидий'!P310-1</f>
        <v>-0.42120568169108608</v>
      </c>
      <c r="M310" s="62">
        <f>L310*'Расчет субсидий'!Q310</f>
        <v>-8.4241136338217224</v>
      </c>
      <c r="N310" s="63">
        <f t="shared" si="112"/>
        <v>-6.3805655416387559</v>
      </c>
      <c r="O310" s="62">
        <f>'Расчет субсидий'!R310-1</f>
        <v>0</v>
      </c>
      <c r="P310" s="62">
        <f>O310*'Расчет субсидий'!S310</f>
        <v>0</v>
      </c>
      <c r="Q310" s="63">
        <f t="shared" si="113"/>
        <v>0</v>
      </c>
      <c r="R310" s="62">
        <f>'Расчет субсидий'!V310-1</f>
        <v>0.70222222222222208</v>
      </c>
      <c r="S310" s="62">
        <f>R310*'Расчет субсидий'!W310</f>
        <v>21.066666666666663</v>
      </c>
      <c r="T310" s="63">
        <f t="shared" si="114"/>
        <v>15.956248129281555</v>
      </c>
      <c r="U310" s="62">
        <f>'Расчет субсидий'!Z310-1</f>
        <v>0</v>
      </c>
      <c r="V310" s="62">
        <f>U310*'Расчет субсидий'!AA310</f>
        <v>0</v>
      </c>
      <c r="W310" s="63">
        <f t="shared" si="115"/>
        <v>0</v>
      </c>
      <c r="X310" s="62">
        <f t="shared" si="116"/>
        <v>14.691081735208664</v>
      </c>
    </row>
    <row r="311" spans="1:24" ht="15" customHeight="1">
      <c r="A311" s="36" t="s">
        <v>305</v>
      </c>
      <c r="B311" s="60">
        <f>'Расчет субсидий'!AG311</f>
        <v>-6.3636363636363491E-2</v>
      </c>
      <c r="C311" s="62">
        <f>'Расчет субсидий'!D311-1</f>
        <v>-2.0418897637795252E-2</v>
      </c>
      <c r="D311" s="62">
        <f>C311*'Расчет субсидий'!E311</f>
        <v>-0.20418897637795252</v>
      </c>
      <c r="E311" s="63">
        <f t="shared" si="111"/>
        <v>-1.0015580114351089E-2</v>
      </c>
      <c r="F311" s="30" t="s">
        <v>376</v>
      </c>
      <c r="G311" s="30" t="s">
        <v>376</v>
      </c>
      <c r="H311" s="30" t="s">
        <v>376</v>
      </c>
      <c r="I311" s="30" t="s">
        <v>376</v>
      </c>
      <c r="J311" s="30" t="s">
        <v>376</v>
      </c>
      <c r="K311" s="30" t="s">
        <v>376</v>
      </c>
      <c r="L311" s="62">
        <f>'Расчет субсидий'!P311-1</f>
        <v>-0.28434620561134694</v>
      </c>
      <c r="M311" s="62">
        <f>L311*'Расчет субсидий'!Q311</f>
        <v>-5.6869241122269383</v>
      </c>
      <c r="N311" s="63">
        <f t="shared" si="112"/>
        <v>-0.27894671426735218</v>
      </c>
      <c r="O311" s="62">
        <f>'Расчет субсидий'!R311-1</f>
        <v>0</v>
      </c>
      <c r="P311" s="62">
        <f>O311*'Расчет субсидий'!S311</f>
        <v>0</v>
      </c>
      <c r="Q311" s="63">
        <f t="shared" si="113"/>
        <v>0</v>
      </c>
      <c r="R311" s="62">
        <f>'Расчет субсидий'!V311-1</f>
        <v>0.13125000000000009</v>
      </c>
      <c r="S311" s="62">
        <f>R311*'Расчет субсидий'!W311</f>
        <v>4.5937500000000036</v>
      </c>
      <c r="T311" s="63">
        <f t="shared" si="114"/>
        <v>0.22532593074533977</v>
      </c>
      <c r="U311" s="62">
        <f>'Расчет субсидий'!Z311-1</f>
        <v>0</v>
      </c>
      <c r="V311" s="62">
        <f>U311*'Расчет субсидий'!AA311</f>
        <v>0</v>
      </c>
      <c r="W311" s="63">
        <f t="shared" si="115"/>
        <v>0</v>
      </c>
      <c r="X311" s="62">
        <f t="shared" si="116"/>
        <v>-1.2973630886048877</v>
      </c>
    </row>
    <row r="312" spans="1:24" ht="15" customHeight="1">
      <c r="A312" s="35" t="s">
        <v>306</v>
      </c>
      <c r="B312" s="64"/>
      <c r="C312" s="65"/>
      <c r="D312" s="65"/>
      <c r="E312" s="66"/>
      <c r="F312" s="65"/>
      <c r="G312" s="65"/>
      <c r="H312" s="66"/>
      <c r="I312" s="66"/>
      <c r="J312" s="66"/>
      <c r="K312" s="66"/>
      <c r="L312" s="65"/>
      <c r="M312" s="65"/>
      <c r="N312" s="66"/>
      <c r="O312" s="65"/>
      <c r="P312" s="65"/>
      <c r="Q312" s="66"/>
      <c r="R312" s="65"/>
      <c r="S312" s="65"/>
      <c r="T312" s="66"/>
      <c r="U312" s="65"/>
      <c r="V312" s="65"/>
      <c r="W312" s="66"/>
      <c r="X312" s="66"/>
    </row>
    <row r="313" spans="1:24" ht="15" customHeight="1">
      <c r="A313" s="36" t="s">
        <v>307</v>
      </c>
      <c r="B313" s="60">
        <f>'Расчет субсидий'!AG313</f>
        <v>5.5727272727272705</v>
      </c>
      <c r="C313" s="62">
        <f>'Расчет субсидий'!D313-1</f>
        <v>-7.8186082877251817E-4</v>
      </c>
      <c r="D313" s="62">
        <f>C313*'Расчет субсидий'!E313</f>
        <v>-7.8186082877251817E-3</v>
      </c>
      <c r="E313" s="63">
        <f t="shared" ref="E313:E327" si="117">$B313*D313/$X313</f>
        <v>-2.084676282638729E-3</v>
      </c>
      <c r="F313" s="30" t="s">
        <v>376</v>
      </c>
      <c r="G313" s="30" t="s">
        <v>376</v>
      </c>
      <c r="H313" s="30" t="s">
        <v>376</v>
      </c>
      <c r="I313" s="30" t="s">
        <v>376</v>
      </c>
      <c r="J313" s="30" t="s">
        <v>376</v>
      </c>
      <c r="K313" s="30" t="s">
        <v>376</v>
      </c>
      <c r="L313" s="62">
        <f>'Расчет субсидий'!P313-1</f>
        <v>1.0454206072672974</v>
      </c>
      <c r="M313" s="62">
        <f>L313*'Расчет субсидий'!Q313</f>
        <v>20.908412145345949</v>
      </c>
      <c r="N313" s="63">
        <f t="shared" ref="N313:N327" si="118">$B313*M313/$X313</f>
        <v>5.5748119490099093</v>
      </c>
      <c r="O313" s="62">
        <f>'Расчет субсидий'!R313-1</f>
        <v>0</v>
      </c>
      <c r="P313" s="62">
        <f>O313*'Расчет субсидий'!S313</f>
        <v>0</v>
      </c>
      <c r="Q313" s="63">
        <f t="shared" ref="Q313:Q327" si="119">$B313*P313/$X313</f>
        <v>0</v>
      </c>
      <c r="R313" s="62">
        <f>'Расчет субсидий'!V313-1</f>
        <v>0</v>
      </c>
      <c r="S313" s="62">
        <f>R313*'Расчет субсидий'!W313</f>
        <v>0</v>
      </c>
      <c r="T313" s="63">
        <f t="shared" ref="T313:T327" si="120">$B313*S313/$X313</f>
        <v>0</v>
      </c>
      <c r="U313" s="62">
        <f>'Расчет субсидий'!Z313-1</f>
        <v>0</v>
      </c>
      <c r="V313" s="62">
        <f>U313*'Расчет субсидий'!AA313</f>
        <v>0</v>
      </c>
      <c r="W313" s="63">
        <f t="shared" ref="W313:W327" si="121">$B313*V313/$X313</f>
        <v>0</v>
      </c>
      <c r="X313" s="62">
        <f t="shared" si="116"/>
        <v>20.900593537058224</v>
      </c>
    </row>
    <row r="314" spans="1:24" ht="15" customHeight="1">
      <c r="A314" s="36" t="s">
        <v>308</v>
      </c>
      <c r="B314" s="60">
        <f>'Расчет субсидий'!AG314</f>
        <v>1.6272727272727279</v>
      </c>
      <c r="C314" s="62">
        <f>'Расчет субсидий'!D314-1</f>
        <v>1.8136670838548188</v>
      </c>
      <c r="D314" s="62">
        <f>C314*'Расчет субсидий'!E314</f>
        <v>18.136670838548188</v>
      </c>
      <c r="E314" s="63">
        <f t="shared" si="117"/>
        <v>0.78491567937829565</v>
      </c>
      <c r="F314" s="30" t="s">
        <v>376</v>
      </c>
      <c r="G314" s="30" t="s">
        <v>376</v>
      </c>
      <c r="H314" s="30" t="s">
        <v>376</v>
      </c>
      <c r="I314" s="30" t="s">
        <v>376</v>
      </c>
      <c r="J314" s="30" t="s">
        <v>376</v>
      </c>
      <c r="K314" s="30" t="s">
        <v>376</v>
      </c>
      <c r="L314" s="62">
        <f>'Расчет субсидий'!P314-1</f>
        <v>0.3024470520892959</v>
      </c>
      <c r="M314" s="62">
        <f>L314*'Расчет субсидий'!Q314</f>
        <v>6.048941041785918</v>
      </c>
      <c r="N314" s="63">
        <f t="shared" si="118"/>
        <v>0.26178501609244137</v>
      </c>
      <c r="O314" s="62">
        <f>'Расчет субсидий'!R314-1</f>
        <v>0</v>
      </c>
      <c r="P314" s="62">
        <f>O314*'Расчет субсидий'!S314</f>
        <v>0</v>
      </c>
      <c r="Q314" s="63">
        <f t="shared" si="119"/>
        <v>0</v>
      </c>
      <c r="R314" s="62">
        <f>'Расчет субсидий'!V314-1</f>
        <v>0.1359999999999999</v>
      </c>
      <c r="S314" s="62">
        <f>R314*'Расчет субсидий'!W314</f>
        <v>2.0399999999999983</v>
      </c>
      <c r="T314" s="63">
        <f t="shared" si="120"/>
        <v>8.828676443354902E-2</v>
      </c>
      <c r="U314" s="62">
        <f>'Расчет субсидий'!Z314-1</f>
        <v>0.32499999999999996</v>
      </c>
      <c r="V314" s="62">
        <f>U314*'Расчет субсидий'!AA314</f>
        <v>11.374999999999998</v>
      </c>
      <c r="W314" s="63">
        <f t="shared" si="121"/>
        <v>0.49228526736844158</v>
      </c>
      <c r="X314" s="62">
        <f t="shared" si="116"/>
        <v>37.600611880334107</v>
      </c>
    </row>
    <row r="315" spans="1:24" ht="15" customHeight="1">
      <c r="A315" s="36" t="s">
        <v>309</v>
      </c>
      <c r="B315" s="60">
        <f>'Расчет субсидий'!AG315</f>
        <v>-0.17272727272727373</v>
      </c>
      <c r="C315" s="62">
        <f>'Расчет субсидий'!D315-1</f>
        <v>-8.1553398058252458E-2</v>
      </c>
      <c r="D315" s="62">
        <f>C315*'Расчет субсидий'!E315</f>
        <v>-0.81553398058252458</v>
      </c>
      <c r="E315" s="63">
        <f t="shared" si="117"/>
        <v>-0.16952714700933594</v>
      </c>
      <c r="F315" s="30" t="s">
        <v>376</v>
      </c>
      <c r="G315" s="30" t="s">
        <v>376</v>
      </c>
      <c r="H315" s="30" t="s">
        <v>376</v>
      </c>
      <c r="I315" s="30" t="s">
        <v>376</v>
      </c>
      <c r="J315" s="30" t="s">
        <v>376</v>
      </c>
      <c r="K315" s="30" t="s">
        <v>376</v>
      </c>
      <c r="L315" s="62">
        <f>'Расчет субсидий'!P315-1</f>
        <v>-4.0769732550554494E-2</v>
      </c>
      <c r="M315" s="62">
        <f>L315*'Расчет субсидий'!Q315</f>
        <v>-0.81539465101108988</v>
      </c>
      <c r="N315" s="63">
        <f t="shared" si="118"/>
        <v>-0.16949818421281029</v>
      </c>
      <c r="O315" s="62">
        <f>'Расчет субсидий'!R315-1</f>
        <v>0</v>
      </c>
      <c r="P315" s="62">
        <f>O315*'Расчет субсидий'!S315</f>
        <v>0</v>
      </c>
      <c r="Q315" s="63">
        <f t="shared" si="119"/>
        <v>0</v>
      </c>
      <c r="R315" s="62">
        <f>'Расчет субсидий'!V315-1</f>
        <v>0</v>
      </c>
      <c r="S315" s="62">
        <f>R315*'Расчет субсидий'!W315</f>
        <v>0</v>
      </c>
      <c r="T315" s="63">
        <f t="shared" si="120"/>
        <v>0</v>
      </c>
      <c r="U315" s="62">
        <f>'Расчет субсидий'!Z315-1</f>
        <v>2.0000000000000018E-2</v>
      </c>
      <c r="V315" s="62">
        <f>U315*'Расчет субсидий'!AA315</f>
        <v>0.80000000000000071</v>
      </c>
      <c r="W315" s="63">
        <f t="shared" si="121"/>
        <v>0.16629805849487245</v>
      </c>
      <c r="X315" s="62">
        <f t="shared" si="116"/>
        <v>-0.83092863159361374</v>
      </c>
    </row>
    <row r="316" spans="1:24" ht="15" customHeight="1">
      <c r="A316" s="36" t="s">
        <v>310</v>
      </c>
      <c r="B316" s="60">
        <f>'Расчет субсидий'!AG316</f>
        <v>-24.200000000000003</v>
      </c>
      <c r="C316" s="62">
        <f>'Расчет субсидий'!D316-1</f>
        <v>-0.31610337972167002</v>
      </c>
      <c r="D316" s="62">
        <f>C316*'Расчет субсидий'!E316</f>
        <v>-3.1610337972167004</v>
      </c>
      <c r="E316" s="63">
        <f t="shared" si="117"/>
        <v>-3.1666611326037772</v>
      </c>
      <c r="F316" s="30" t="s">
        <v>376</v>
      </c>
      <c r="G316" s="30" t="s">
        <v>376</v>
      </c>
      <c r="H316" s="30" t="s">
        <v>376</v>
      </c>
      <c r="I316" s="30" t="s">
        <v>376</v>
      </c>
      <c r="J316" s="30" t="s">
        <v>376</v>
      </c>
      <c r="K316" s="30" t="s">
        <v>376</v>
      </c>
      <c r="L316" s="62">
        <f>'Расчет субсидий'!P316-1</f>
        <v>-0.61229807191245444</v>
      </c>
      <c r="M316" s="62">
        <f>L316*'Расчет субсидий'!Q316</f>
        <v>-12.24596143824909</v>
      </c>
      <c r="N316" s="63">
        <f t="shared" si="118"/>
        <v>-12.267761942948193</v>
      </c>
      <c r="O316" s="62">
        <f>'Расчет субсидий'!R316-1</f>
        <v>0</v>
      </c>
      <c r="P316" s="62">
        <f>O316*'Расчет субсидий'!S316</f>
        <v>0</v>
      </c>
      <c r="Q316" s="63">
        <f t="shared" si="119"/>
        <v>0</v>
      </c>
      <c r="R316" s="62">
        <f>'Расчет субсидий'!V316-1</f>
        <v>-6.25E-2</v>
      </c>
      <c r="S316" s="62">
        <f>R316*'Расчет субсидий'!W316</f>
        <v>-1.25</v>
      </c>
      <c r="T316" s="63">
        <f t="shared" si="120"/>
        <v>-1.2522252749211478</v>
      </c>
      <c r="U316" s="62">
        <f>'Расчет субсидий'!Z316-1</f>
        <v>-0.25</v>
      </c>
      <c r="V316" s="62">
        <f>U316*'Расчет субсидий'!AA316</f>
        <v>-7.5</v>
      </c>
      <c r="W316" s="63">
        <f t="shared" si="121"/>
        <v>-7.5133516495268866</v>
      </c>
      <c r="X316" s="62">
        <f t="shared" si="116"/>
        <v>-24.156995235465789</v>
      </c>
    </row>
    <row r="317" spans="1:24" ht="15" customHeight="1">
      <c r="A317" s="36" t="s">
        <v>311</v>
      </c>
      <c r="B317" s="60">
        <f>'Расчет субсидий'!AG317</f>
        <v>-1.3454545454545457</v>
      </c>
      <c r="C317" s="62">
        <f>'Расчет субсидий'!D317-1</f>
        <v>-1</v>
      </c>
      <c r="D317" s="62">
        <f>C317*'Расчет субсидий'!E317</f>
        <v>0</v>
      </c>
      <c r="E317" s="63">
        <f t="shared" si="117"/>
        <v>0</v>
      </c>
      <c r="F317" s="30" t="s">
        <v>376</v>
      </c>
      <c r="G317" s="30" t="s">
        <v>376</v>
      </c>
      <c r="H317" s="30" t="s">
        <v>376</v>
      </c>
      <c r="I317" s="30" t="s">
        <v>376</v>
      </c>
      <c r="J317" s="30" t="s">
        <v>376</v>
      </c>
      <c r="K317" s="30" t="s">
        <v>376</v>
      </c>
      <c r="L317" s="62">
        <f>'Расчет субсидий'!P317-1</f>
        <v>-0.89163740823491855</v>
      </c>
      <c r="M317" s="62">
        <f>L317*'Расчет субсидий'!Q317</f>
        <v>-17.832748164698373</v>
      </c>
      <c r="N317" s="63">
        <f t="shared" si="118"/>
        <v>-1.6370563365059962</v>
      </c>
      <c r="O317" s="62">
        <f>'Расчет субсидий'!R317-1</f>
        <v>0</v>
      </c>
      <c r="P317" s="62">
        <f>O317*'Расчет субсидий'!S317</f>
        <v>0</v>
      </c>
      <c r="Q317" s="63">
        <f t="shared" si="119"/>
        <v>0</v>
      </c>
      <c r="R317" s="62">
        <f>'Расчет субсидий'!V317-1</f>
        <v>0.15882352941176459</v>
      </c>
      <c r="S317" s="62">
        <f>R317*'Расчет субсидий'!W317</f>
        <v>3.1764705882352917</v>
      </c>
      <c r="T317" s="63">
        <f t="shared" si="120"/>
        <v>0.29160179105145062</v>
      </c>
      <c r="U317" s="62">
        <f>'Расчет субсидий'!Z317-1</f>
        <v>0</v>
      </c>
      <c r="V317" s="62">
        <f>U317*'Расчет субсидий'!AA317</f>
        <v>0</v>
      </c>
      <c r="W317" s="63">
        <f t="shared" si="121"/>
        <v>0</v>
      </c>
      <c r="X317" s="62">
        <f t="shared" si="116"/>
        <v>-14.656277576463081</v>
      </c>
    </row>
    <row r="318" spans="1:24" ht="15" customHeight="1">
      <c r="A318" s="36" t="s">
        <v>312</v>
      </c>
      <c r="B318" s="60">
        <f>'Расчет субсидий'!AG318</f>
        <v>9.018181818181823</v>
      </c>
      <c r="C318" s="62">
        <f>'Расчет субсидий'!D318-1</f>
        <v>-1</v>
      </c>
      <c r="D318" s="62">
        <f>C318*'Расчет субсидий'!E318</f>
        <v>0</v>
      </c>
      <c r="E318" s="63">
        <f t="shared" si="117"/>
        <v>0</v>
      </c>
      <c r="F318" s="30" t="s">
        <v>376</v>
      </c>
      <c r="G318" s="30" t="s">
        <v>376</v>
      </c>
      <c r="H318" s="30" t="s">
        <v>376</v>
      </c>
      <c r="I318" s="30" t="s">
        <v>376</v>
      </c>
      <c r="J318" s="30" t="s">
        <v>376</v>
      </c>
      <c r="K318" s="30" t="s">
        <v>376</v>
      </c>
      <c r="L318" s="62">
        <f>'Расчет субсидий'!P318-1</f>
        <v>1.2511111111111108</v>
      </c>
      <c r="M318" s="62">
        <f>L318*'Расчет субсидий'!Q318</f>
        <v>25.022222222222219</v>
      </c>
      <c r="N318" s="63">
        <f t="shared" si="118"/>
        <v>7.5987985465430166</v>
      </c>
      <c r="O318" s="62">
        <f>'Расчет субсидий'!R318-1</f>
        <v>0</v>
      </c>
      <c r="P318" s="62">
        <f>O318*'Расчет субсидий'!S318</f>
        <v>0</v>
      </c>
      <c r="Q318" s="63">
        <f t="shared" si="119"/>
        <v>0</v>
      </c>
      <c r="R318" s="62">
        <f>'Расчет субсидий'!V318-1</f>
        <v>0.10869565217391308</v>
      </c>
      <c r="S318" s="62">
        <f>R318*'Расчет субсидий'!W318</f>
        <v>2.1739130434782616</v>
      </c>
      <c r="T318" s="63">
        <f t="shared" si="120"/>
        <v>0.66017826587851558</v>
      </c>
      <c r="U318" s="62">
        <f>'Расчет субсидий'!Z318-1</f>
        <v>8.3333333333333259E-2</v>
      </c>
      <c r="V318" s="62">
        <f>U318*'Расчет субсидий'!AA318</f>
        <v>2.4999999999999978</v>
      </c>
      <c r="W318" s="63">
        <f t="shared" si="121"/>
        <v>0.75920500576029182</v>
      </c>
      <c r="X318" s="62">
        <f t="shared" si="116"/>
        <v>29.696135265700477</v>
      </c>
    </row>
    <row r="319" spans="1:24" ht="15" customHeight="1">
      <c r="A319" s="36" t="s">
        <v>313</v>
      </c>
      <c r="B319" s="60">
        <f>'Расчет субсидий'!AG319</f>
        <v>12.827272727272728</v>
      </c>
      <c r="C319" s="62">
        <f>'Расчет субсидий'!D319-1</f>
        <v>5.9336401065633426E-2</v>
      </c>
      <c r="D319" s="62">
        <f>C319*'Расчет субсидий'!E319</f>
        <v>0.59336401065633426</v>
      </c>
      <c r="E319" s="63">
        <f t="shared" si="117"/>
        <v>0.59088774329097205</v>
      </c>
      <c r="F319" s="30" t="s">
        <v>376</v>
      </c>
      <c r="G319" s="30" t="s">
        <v>376</v>
      </c>
      <c r="H319" s="30" t="s">
        <v>376</v>
      </c>
      <c r="I319" s="30" t="s">
        <v>376</v>
      </c>
      <c r="J319" s="30" t="s">
        <v>376</v>
      </c>
      <c r="K319" s="30" t="s">
        <v>376</v>
      </c>
      <c r="L319" s="62">
        <f>'Расчет субсидий'!P319-1</f>
        <v>0.61438323543419582</v>
      </c>
      <c r="M319" s="62">
        <f>L319*'Расчет субсидий'!Q319</f>
        <v>12.287664708683916</v>
      </c>
      <c r="N319" s="63">
        <f t="shared" si="118"/>
        <v>12.236384983981756</v>
      </c>
      <c r="O319" s="62">
        <f>'Расчет субсидий'!R319-1</f>
        <v>0</v>
      </c>
      <c r="P319" s="62">
        <f>O319*'Расчет субсидий'!S319</f>
        <v>0</v>
      </c>
      <c r="Q319" s="63">
        <f t="shared" si="119"/>
        <v>0</v>
      </c>
      <c r="R319" s="62">
        <f>'Расчет субсидий'!V319-1</f>
        <v>0</v>
      </c>
      <c r="S319" s="62">
        <f>R319*'Расчет субсидий'!W319</f>
        <v>0</v>
      </c>
      <c r="T319" s="63">
        <f t="shared" si="120"/>
        <v>0</v>
      </c>
      <c r="U319" s="62">
        <f>'Расчет субсидий'!Z319-1</f>
        <v>0</v>
      </c>
      <c r="V319" s="62">
        <f>U319*'Расчет субсидий'!AA319</f>
        <v>0</v>
      </c>
      <c r="W319" s="63">
        <f t="shared" si="121"/>
        <v>0</v>
      </c>
      <c r="X319" s="62">
        <f t="shared" si="116"/>
        <v>12.88102871934025</v>
      </c>
    </row>
    <row r="320" spans="1:24" ht="15" customHeight="1">
      <c r="A320" s="36" t="s">
        <v>314</v>
      </c>
      <c r="B320" s="60">
        <f>'Расчет субсидий'!AG320</f>
        <v>-5.4181818181818162</v>
      </c>
      <c r="C320" s="62">
        <f>'Расчет субсидий'!D320-1</f>
        <v>-0.20436649964209019</v>
      </c>
      <c r="D320" s="62">
        <f>C320*'Расчет субсидий'!E320</f>
        <v>-2.0436649964209019</v>
      </c>
      <c r="E320" s="63">
        <f t="shared" si="117"/>
        <v>-0.44673026760671997</v>
      </c>
      <c r="F320" s="30" t="s">
        <v>376</v>
      </c>
      <c r="G320" s="30" t="s">
        <v>376</v>
      </c>
      <c r="H320" s="30" t="s">
        <v>376</v>
      </c>
      <c r="I320" s="30" t="s">
        <v>376</v>
      </c>
      <c r="J320" s="30" t="s">
        <v>376</v>
      </c>
      <c r="K320" s="30" t="s">
        <v>376</v>
      </c>
      <c r="L320" s="62">
        <f>'Расчет субсидий'!P320-1</f>
        <v>-0.35533126293995854</v>
      </c>
      <c r="M320" s="62">
        <f>L320*'Расчет субсидий'!Q320</f>
        <v>-7.1066252587991707</v>
      </c>
      <c r="N320" s="63">
        <f t="shared" si="118"/>
        <v>-1.553456466301474</v>
      </c>
      <c r="O320" s="62">
        <f>'Расчет субсидий'!R320-1</f>
        <v>0</v>
      </c>
      <c r="P320" s="62">
        <f>O320*'Расчет субсидий'!S320</f>
        <v>0</v>
      </c>
      <c r="Q320" s="63">
        <f t="shared" si="119"/>
        <v>0</v>
      </c>
      <c r="R320" s="62">
        <f>'Расчет субсидий'!V320-1</f>
        <v>0.1454545454545455</v>
      </c>
      <c r="S320" s="62">
        <f>R320*'Расчет субсидий'!W320</f>
        <v>4.3636363636363651</v>
      </c>
      <c r="T320" s="63">
        <f t="shared" si="120"/>
        <v>0.95385909328566243</v>
      </c>
      <c r="U320" s="62">
        <f>'Расчет субсидий'!Z320-1</f>
        <v>-1</v>
      </c>
      <c r="V320" s="62">
        <f>U320*'Расчет субсидий'!AA320</f>
        <v>-20</v>
      </c>
      <c r="W320" s="63">
        <f t="shared" si="121"/>
        <v>-4.3718541775592836</v>
      </c>
      <c r="X320" s="62">
        <f t="shared" si="116"/>
        <v>-24.786653891583708</v>
      </c>
    </row>
    <row r="321" spans="1:24" ht="15" customHeight="1">
      <c r="A321" s="36" t="s">
        <v>315</v>
      </c>
      <c r="B321" s="60">
        <f>'Расчет субсидий'!AG321</f>
        <v>0.34545454545454546</v>
      </c>
      <c r="C321" s="62">
        <f>'Расчет субсидий'!D321-1</f>
        <v>-1</v>
      </c>
      <c r="D321" s="62">
        <f>C321*'Расчет субсидий'!E321</f>
        <v>0</v>
      </c>
      <c r="E321" s="63">
        <f t="shared" si="117"/>
        <v>0</v>
      </c>
      <c r="F321" s="30" t="s">
        <v>376</v>
      </c>
      <c r="G321" s="30" t="s">
        <v>376</v>
      </c>
      <c r="H321" s="30" t="s">
        <v>376</v>
      </c>
      <c r="I321" s="30" t="s">
        <v>376</v>
      </c>
      <c r="J321" s="30" t="s">
        <v>376</v>
      </c>
      <c r="K321" s="30" t="s">
        <v>376</v>
      </c>
      <c r="L321" s="62">
        <f>'Расчет субсидий'!P321-1</f>
        <v>2.5340540540540539</v>
      </c>
      <c r="M321" s="62">
        <f>L321*'Расчет субсидий'!Q321</f>
        <v>50.681081081081075</v>
      </c>
      <c r="N321" s="63">
        <f t="shared" si="118"/>
        <v>0.33424300275339952</v>
      </c>
      <c r="O321" s="62">
        <f>'Расчет субсидий'!R321-1</f>
        <v>0</v>
      </c>
      <c r="P321" s="62">
        <f>O321*'Расчет субсидий'!S321</f>
        <v>0</v>
      </c>
      <c r="Q321" s="63">
        <f t="shared" si="119"/>
        <v>0</v>
      </c>
      <c r="R321" s="62">
        <f>'Расчет субсидий'!V321-1</f>
        <v>0.16999999999999993</v>
      </c>
      <c r="S321" s="62">
        <f>R321*'Расчет субсидий'!W321</f>
        <v>1.6999999999999993</v>
      </c>
      <c r="T321" s="63">
        <f t="shared" si="120"/>
        <v>1.1211542701145917E-2</v>
      </c>
      <c r="U321" s="62">
        <f>'Расчет субсидий'!Z321-1</f>
        <v>0</v>
      </c>
      <c r="V321" s="62">
        <f>U321*'Расчет субсидий'!AA321</f>
        <v>0</v>
      </c>
      <c r="W321" s="63">
        <f t="shared" si="121"/>
        <v>0</v>
      </c>
      <c r="X321" s="62">
        <f t="shared" si="116"/>
        <v>52.381081081081078</v>
      </c>
    </row>
    <row r="322" spans="1:24" ht="15" customHeight="1">
      <c r="A322" s="36" t="s">
        <v>316</v>
      </c>
      <c r="B322" s="60">
        <f>'Расчет субсидий'!AG322</f>
        <v>7.2727272727272751E-2</v>
      </c>
      <c r="C322" s="62">
        <f>'Расчет субсидий'!D322-1</f>
        <v>-1</v>
      </c>
      <c r="D322" s="62">
        <f>C322*'Расчет субсидий'!E322</f>
        <v>0</v>
      </c>
      <c r="E322" s="63">
        <f t="shared" si="117"/>
        <v>0</v>
      </c>
      <c r="F322" s="30" t="s">
        <v>376</v>
      </c>
      <c r="G322" s="30" t="s">
        <v>376</v>
      </c>
      <c r="H322" s="30" t="s">
        <v>376</v>
      </c>
      <c r="I322" s="30" t="s">
        <v>376</v>
      </c>
      <c r="J322" s="30" t="s">
        <v>376</v>
      </c>
      <c r="K322" s="30" t="s">
        <v>376</v>
      </c>
      <c r="L322" s="62">
        <f>'Расчет субсидий'!P322-1</f>
        <v>0.14894023295780023</v>
      </c>
      <c r="M322" s="62">
        <f>L322*'Расчет субсидий'!Q322</f>
        <v>2.9788046591560047</v>
      </c>
      <c r="N322" s="63">
        <f t="shared" si="118"/>
        <v>3.3916294056916221E-2</v>
      </c>
      <c r="O322" s="62">
        <f>'Расчет субсидий'!R322-1</f>
        <v>0</v>
      </c>
      <c r="P322" s="62">
        <f>O322*'Расчет субсидий'!S322</f>
        <v>0</v>
      </c>
      <c r="Q322" s="63">
        <f t="shared" si="119"/>
        <v>0</v>
      </c>
      <c r="R322" s="62">
        <f>'Расчет субсидий'!V322-1</f>
        <v>8.5217391304347911E-2</v>
      </c>
      <c r="S322" s="62">
        <f>R322*'Расчет субсидий'!W322</f>
        <v>3.4086956521739165</v>
      </c>
      <c r="T322" s="63">
        <f t="shared" si="120"/>
        <v>3.881097867035653E-2</v>
      </c>
      <c r="U322" s="62">
        <f>'Расчет субсидий'!Z322-1</f>
        <v>0</v>
      </c>
      <c r="V322" s="62">
        <f>U322*'Расчет субсидий'!AA322</f>
        <v>0</v>
      </c>
      <c r="W322" s="63">
        <f t="shared" si="121"/>
        <v>0</v>
      </c>
      <c r="X322" s="62">
        <f t="shared" si="116"/>
        <v>6.3875003113299211</v>
      </c>
    </row>
    <row r="323" spans="1:24" ht="15" customHeight="1">
      <c r="A323" s="36" t="s">
        <v>317</v>
      </c>
      <c r="B323" s="60">
        <f>'Расчет субсидий'!AG323</f>
        <v>-11.309090909090905</v>
      </c>
      <c r="C323" s="62">
        <f>'Расчет субсидий'!D323-1</f>
        <v>-0.72063492063492063</v>
      </c>
      <c r="D323" s="62">
        <f>C323*'Расчет субсидий'!E323</f>
        <v>-7.2063492063492065</v>
      </c>
      <c r="E323" s="63">
        <f t="shared" si="117"/>
        <v>-4.1054337991246328</v>
      </c>
      <c r="F323" s="30" t="s">
        <v>376</v>
      </c>
      <c r="G323" s="30" t="s">
        <v>376</v>
      </c>
      <c r="H323" s="30" t="s">
        <v>376</v>
      </c>
      <c r="I323" s="30" t="s">
        <v>376</v>
      </c>
      <c r="J323" s="30" t="s">
        <v>376</v>
      </c>
      <c r="K323" s="30" t="s">
        <v>376</v>
      </c>
      <c r="L323" s="62">
        <f>'Расчет субсидий'!P323-1</f>
        <v>-0.63223609534619751</v>
      </c>
      <c r="M323" s="62">
        <f>L323*'Расчет субсидий'!Q323</f>
        <v>-12.64472190692395</v>
      </c>
      <c r="N323" s="63">
        <f t="shared" si="118"/>
        <v>-7.2036571099662723</v>
      </c>
      <c r="O323" s="62">
        <f>'Расчет субсидий'!R323-1</f>
        <v>0</v>
      </c>
      <c r="P323" s="62">
        <f>O323*'Расчет субсидий'!S323</f>
        <v>0</v>
      </c>
      <c r="Q323" s="63">
        <f t="shared" si="119"/>
        <v>0</v>
      </c>
      <c r="R323" s="62">
        <f>'Расчет субсидий'!V323-1</f>
        <v>0</v>
      </c>
      <c r="S323" s="62">
        <f>R323*'Расчет субсидий'!W323</f>
        <v>0</v>
      </c>
      <c r="T323" s="63">
        <f t="shared" si="120"/>
        <v>0</v>
      </c>
      <c r="U323" s="62">
        <f>'Расчет субсидий'!Z323-1</f>
        <v>0</v>
      </c>
      <c r="V323" s="62">
        <f>U323*'Расчет субсидий'!AA323</f>
        <v>0</v>
      </c>
      <c r="W323" s="63">
        <f t="shared" si="121"/>
        <v>0</v>
      </c>
      <c r="X323" s="62">
        <f t="shared" si="116"/>
        <v>-19.851071113273157</v>
      </c>
    </row>
    <row r="324" spans="1:24" ht="15" customHeight="1">
      <c r="A324" s="36" t="s">
        <v>318</v>
      </c>
      <c r="B324" s="60">
        <f>'Расчет субсидий'!AG324</f>
        <v>0.47272727272727311</v>
      </c>
      <c r="C324" s="62">
        <f>'Расчет субсидий'!D324-1</f>
        <v>7.8917609046849746E-2</v>
      </c>
      <c r="D324" s="62">
        <f>C324*'Расчет субсидий'!E324</f>
        <v>0.78917609046849746</v>
      </c>
      <c r="E324" s="63">
        <f t="shared" si="117"/>
        <v>2.1757800083602268E-2</v>
      </c>
      <c r="F324" s="30" t="s">
        <v>376</v>
      </c>
      <c r="G324" s="30" t="s">
        <v>376</v>
      </c>
      <c r="H324" s="30" t="s">
        <v>376</v>
      </c>
      <c r="I324" s="30" t="s">
        <v>376</v>
      </c>
      <c r="J324" s="30" t="s">
        <v>376</v>
      </c>
      <c r="K324" s="30" t="s">
        <v>376</v>
      </c>
      <c r="L324" s="62">
        <f>'Расчет субсидий'!P324-1</f>
        <v>0.90118790496760282</v>
      </c>
      <c r="M324" s="62">
        <f>L324*'Расчет субсидий'!Q324</f>
        <v>18.023758099352058</v>
      </c>
      <c r="N324" s="63">
        <f t="shared" si="118"/>
        <v>0.49691992727263645</v>
      </c>
      <c r="O324" s="62">
        <f>'Расчет субсидий'!R324-1</f>
        <v>0</v>
      </c>
      <c r="P324" s="62">
        <f>O324*'Расчет субсидий'!S324</f>
        <v>0</v>
      </c>
      <c r="Q324" s="63">
        <f t="shared" si="119"/>
        <v>0</v>
      </c>
      <c r="R324" s="62">
        <f>'Расчет субсидий'!V324-1</f>
        <v>-8.333333333333337E-2</v>
      </c>
      <c r="S324" s="62">
        <f>R324*'Расчет субсидий'!W324</f>
        <v>-1.6666666666666674</v>
      </c>
      <c r="T324" s="63">
        <f t="shared" si="120"/>
        <v>-4.5950454628965583E-2</v>
      </c>
      <c r="U324" s="62">
        <f>'Расчет субсидий'!Z324-1</f>
        <v>0</v>
      </c>
      <c r="V324" s="62">
        <f>U324*'Расчет субсидий'!AA324</f>
        <v>0</v>
      </c>
      <c r="W324" s="63">
        <f t="shared" si="121"/>
        <v>0</v>
      </c>
      <c r="X324" s="62">
        <f t="shared" si="116"/>
        <v>17.146267523153888</v>
      </c>
    </row>
    <row r="325" spans="1:24" ht="15" customHeight="1">
      <c r="A325" s="36" t="s">
        <v>319</v>
      </c>
      <c r="B325" s="60">
        <f>'Расчет субсидий'!AG325</f>
        <v>-10.263636363636365</v>
      </c>
      <c r="C325" s="62">
        <f>'Расчет субсидий'!D325-1</f>
        <v>-1</v>
      </c>
      <c r="D325" s="62">
        <f>C325*'Расчет субсидий'!E325</f>
        <v>0</v>
      </c>
      <c r="E325" s="63">
        <f t="shared" si="117"/>
        <v>0</v>
      </c>
      <c r="F325" s="30" t="s">
        <v>376</v>
      </c>
      <c r="G325" s="30" t="s">
        <v>376</v>
      </c>
      <c r="H325" s="30" t="s">
        <v>376</v>
      </c>
      <c r="I325" s="30" t="s">
        <v>376</v>
      </c>
      <c r="J325" s="30" t="s">
        <v>376</v>
      </c>
      <c r="K325" s="30" t="s">
        <v>376</v>
      </c>
      <c r="L325" s="62">
        <f>'Расчет субсидий'!P325-1</f>
        <v>-0.52444922084900591</v>
      </c>
      <c r="M325" s="62">
        <f>L325*'Расчет субсидий'!Q325</f>
        <v>-10.488984416980118</v>
      </c>
      <c r="N325" s="63">
        <f t="shared" si="118"/>
        <v>-10.263636363636365</v>
      </c>
      <c r="O325" s="62">
        <f>'Расчет субсидий'!R325-1</f>
        <v>0</v>
      </c>
      <c r="P325" s="62">
        <f>O325*'Расчет субсидий'!S325</f>
        <v>0</v>
      </c>
      <c r="Q325" s="63">
        <f t="shared" si="119"/>
        <v>0</v>
      </c>
      <c r="R325" s="62">
        <f>'Расчет субсидий'!V325-1</f>
        <v>0</v>
      </c>
      <c r="S325" s="62">
        <f>R325*'Расчет субсидий'!W325</f>
        <v>0</v>
      </c>
      <c r="T325" s="63">
        <f t="shared" si="120"/>
        <v>0</v>
      </c>
      <c r="U325" s="62">
        <f>'Расчет субсидий'!Z325-1</f>
        <v>0</v>
      </c>
      <c r="V325" s="62">
        <f>U325*'Расчет субсидий'!AA325</f>
        <v>0</v>
      </c>
      <c r="W325" s="63">
        <f t="shared" si="121"/>
        <v>0</v>
      </c>
      <c r="X325" s="62">
        <f t="shared" si="116"/>
        <v>-10.488984416980118</v>
      </c>
    </row>
    <row r="326" spans="1:24" ht="15" customHeight="1">
      <c r="A326" s="36" t="s">
        <v>320</v>
      </c>
      <c r="B326" s="60">
        <f>'Расчет субсидий'!AG326</f>
        <v>32.900000000000006</v>
      </c>
      <c r="C326" s="62">
        <f>'Расчет субсидий'!D326-1</f>
        <v>2.3953846153846152</v>
      </c>
      <c r="D326" s="62">
        <f>C326*'Расчет субсидий'!E326</f>
        <v>23.95384615384615</v>
      </c>
      <c r="E326" s="63">
        <f t="shared" si="117"/>
        <v>25.820901243206386</v>
      </c>
      <c r="F326" s="30" t="s">
        <v>376</v>
      </c>
      <c r="G326" s="30" t="s">
        <v>376</v>
      </c>
      <c r="H326" s="30" t="s">
        <v>376</v>
      </c>
      <c r="I326" s="30" t="s">
        <v>376</v>
      </c>
      <c r="J326" s="30" t="s">
        <v>376</v>
      </c>
      <c r="K326" s="30" t="s">
        <v>376</v>
      </c>
      <c r="L326" s="62">
        <f>'Расчет субсидий'!P326-1</f>
        <v>0.75682031984948273</v>
      </c>
      <c r="M326" s="62">
        <f>L326*'Расчет субсидий'!Q326</f>
        <v>15.136406396989655</v>
      </c>
      <c r="N326" s="63">
        <f t="shared" si="118"/>
        <v>16.316196248549119</v>
      </c>
      <c r="O326" s="62">
        <f>'Расчет субсидий'!R326-1</f>
        <v>0</v>
      </c>
      <c r="P326" s="62">
        <f>O326*'Расчет субсидий'!S326</f>
        <v>0</v>
      </c>
      <c r="Q326" s="63">
        <f t="shared" si="119"/>
        <v>0</v>
      </c>
      <c r="R326" s="62">
        <f>'Расчет субсидий'!V326-1</f>
        <v>-2.6729559748427723E-2</v>
      </c>
      <c r="S326" s="62">
        <f>R326*'Расчет субсидий'!W326</f>
        <v>-1.0691823899371089</v>
      </c>
      <c r="T326" s="63">
        <f t="shared" si="120"/>
        <v>-1.1525185861272935</v>
      </c>
      <c r="U326" s="62">
        <f>'Расчет субсидий'!Z326-1</f>
        <v>-0.75</v>
      </c>
      <c r="V326" s="62">
        <f>U326*'Расчет субсидий'!AA326</f>
        <v>-7.5</v>
      </c>
      <c r="W326" s="63">
        <f t="shared" si="121"/>
        <v>-8.0845789056282058</v>
      </c>
      <c r="X326" s="62">
        <f t="shared" si="116"/>
        <v>30.521070160898695</v>
      </c>
    </row>
    <row r="327" spans="1:24" ht="15" customHeight="1">
      <c r="A327" s="36" t="s">
        <v>321</v>
      </c>
      <c r="B327" s="60">
        <f>'Расчет субсидий'!AG327</f>
        <v>-7.4545454545454533</v>
      </c>
      <c r="C327" s="62">
        <f>'Расчет субсидий'!D327-1</f>
        <v>-1</v>
      </c>
      <c r="D327" s="62">
        <f>C327*'Расчет субсидий'!E327</f>
        <v>0</v>
      </c>
      <c r="E327" s="63">
        <f t="shared" si="117"/>
        <v>0</v>
      </c>
      <c r="F327" s="30" t="s">
        <v>376</v>
      </c>
      <c r="G327" s="30" t="s">
        <v>376</v>
      </c>
      <c r="H327" s="30" t="s">
        <v>376</v>
      </c>
      <c r="I327" s="30" t="s">
        <v>376</v>
      </c>
      <c r="J327" s="30" t="s">
        <v>376</v>
      </c>
      <c r="K327" s="30" t="s">
        <v>376</v>
      </c>
      <c r="L327" s="62">
        <f>'Расчет субсидий'!P327-1</f>
        <v>-0.72706289671090596</v>
      </c>
      <c r="M327" s="62">
        <f>L327*'Расчет субсидий'!Q327</f>
        <v>-14.54125793421812</v>
      </c>
      <c r="N327" s="63">
        <f t="shared" si="118"/>
        <v>-7.4545454545454533</v>
      </c>
      <c r="O327" s="62">
        <f>'Расчет субсидий'!R327-1</f>
        <v>0</v>
      </c>
      <c r="P327" s="62">
        <f>O327*'Расчет субсидий'!S327</f>
        <v>0</v>
      </c>
      <c r="Q327" s="63">
        <f t="shared" si="119"/>
        <v>0</v>
      </c>
      <c r="R327" s="62">
        <f>'Расчет субсидий'!V327-1</f>
        <v>0</v>
      </c>
      <c r="S327" s="62">
        <f>R327*'Расчет субсидий'!W327</f>
        <v>0</v>
      </c>
      <c r="T327" s="63">
        <f t="shared" si="120"/>
        <v>0</v>
      </c>
      <c r="U327" s="62">
        <f>'Расчет субсидий'!Z327-1</f>
        <v>0</v>
      </c>
      <c r="V327" s="62">
        <f>U327*'Расчет субсидий'!AA327</f>
        <v>0</v>
      </c>
      <c r="W327" s="63">
        <f t="shared" si="121"/>
        <v>0</v>
      </c>
      <c r="X327" s="62">
        <f t="shared" si="116"/>
        <v>-14.54125793421812</v>
      </c>
    </row>
    <row r="328" spans="1:24" ht="15" customHeight="1">
      <c r="A328" s="35" t="s">
        <v>322</v>
      </c>
      <c r="B328" s="64"/>
      <c r="C328" s="65"/>
      <c r="D328" s="65"/>
      <c r="E328" s="66"/>
      <c r="F328" s="65"/>
      <c r="G328" s="65"/>
      <c r="H328" s="66"/>
      <c r="I328" s="66"/>
      <c r="J328" s="66"/>
      <c r="K328" s="66"/>
      <c r="L328" s="65"/>
      <c r="M328" s="65"/>
      <c r="N328" s="66"/>
      <c r="O328" s="65"/>
      <c r="P328" s="65"/>
      <c r="Q328" s="66"/>
      <c r="R328" s="65"/>
      <c r="S328" s="65"/>
      <c r="T328" s="66"/>
      <c r="U328" s="65"/>
      <c r="V328" s="65"/>
      <c r="W328" s="66"/>
      <c r="X328" s="66"/>
    </row>
    <row r="329" spans="1:24" ht="15" customHeight="1">
      <c r="A329" s="36" t="s">
        <v>323</v>
      </c>
      <c r="B329" s="60">
        <f>'Расчет субсидий'!AG329</f>
        <v>-35.027272727272731</v>
      </c>
      <c r="C329" s="62">
        <f>'Расчет субсидий'!D329-1</f>
        <v>-0.34606060606060607</v>
      </c>
      <c r="D329" s="62">
        <f>C329*'Расчет субсидий'!E329</f>
        <v>-3.4606060606060609</v>
      </c>
      <c r="E329" s="63">
        <f t="shared" ref="E329:E339" si="122">$B329*D329/$X329</f>
        <v>-3.049356202453835</v>
      </c>
      <c r="F329" s="30" t="s">
        <v>376</v>
      </c>
      <c r="G329" s="30" t="s">
        <v>376</v>
      </c>
      <c r="H329" s="30" t="s">
        <v>376</v>
      </c>
      <c r="I329" s="30" t="s">
        <v>376</v>
      </c>
      <c r="J329" s="30" t="s">
        <v>376</v>
      </c>
      <c r="K329" s="30" t="s">
        <v>376</v>
      </c>
      <c r="L329" s="62">
        <f>'Расчет субсидий'!P329-1</f>
        <v>-0.88953009068425393</v>
      </c>
      <c r="M329" s="62">
        <f>L329*'Расчет субсидий'!Q329</f>
        <v>-17.790601813685079</v>
      </c>
      <c r="N329" s="63">
        <f t="shared" ref="N329:N339" si="123">$B329*M329/$X329</f>
        <v>-15.676410731490824</v>
      </c>
      <c r="O329" s="62">
        <f>'Расчет субсидий'!R329-1</f>
        <v>0</v>
      </c>
      <c r="P329" s="62">
        <f>O329*'Расчет субсидий'!S329</f>
        <v>0</v>
      </c>
      <c r="Q329" s="63">
        <f t="shared" ref="Q329:Q339" si="124">$B329*P329/$X329</f>
        <v>0</v>
      </c>
      <c r="R329" s="62">
        <f>'Расчет субсидий'!V329-1</f>
        <v>5.0000000000000044E-2</v>
      </c>
      <c r="S329" s="62">
        <f>R329*'Расчет субсидий'!W329</f>
        <v>1.5000000000000013</v>
      </c>
      <c r="T329" s="63">
        <f t="shared" ref="T329:T339" si="125">$B329*S329/$X329</f>
        <v>1.3217437129725478</v>
      </c>
      <c r="U329" s="62">
        <f>'Расчет субсидий'!Z329-1</f>
        <v>-1</v>
      </c>
      <c r="V329" s="62">
        <f>U329*'Расчет субсидий'!AA329</f>
        <v>-20</v>
      </c>
      <c r="W329" s="63">
        <f t="shared" ref="W329:W339" si="126">$B329*V329/$X329</f>
        <v>-17.62324950630062</v>
      </c>
      <c r="X329" s="62">
        <f t="shared" si="116"/>
        <v>-39.75120787429114</v>
      </c>
    </row>
    <row r="330" spans="1:24" ht="15" customHeight="1">
      <c r="A330" s="36" t="s">
        <v>324</v>
      </c>
      <c r="B330" s="60">
        <f>'Расчет субсидий'!AG330</f>
        <v>-20.454545454545453</v>
      </c>
      <c r="C330" s="62">
        <f>'Расчет субсидий'!D330-1</f>
        <v>0</v>
      </c>
      <c r="D330" s="62">
        <f>C330*'Расчет субсидий'!E330</f>
        <v>0</v>
      </c>
      <c r="E330" s="63">
        <f t="shared" si="122"/>
        <v>0</v>
      </c>
      <c r="F330" s="30" t="s">
        <v>376</v>
      </c>
      <c r="G330" s="30" t="s">
        <v>376</v>
      </c>
      <c r="H330" s="30" t="s">
        <v>376</v>
      </c>
      <c r="I330" s="30" t="s">
        <v>376</v>
      </c>
      <c r="J330" s="30" t="s">
        <v>376</v>
      </c>
      <c r="K330" s="30" t="s">
        <v>376</v>
      </c>
      <c r="L330" s="62">
        <f>'Расчет субсидий'!P330-1</f>
        <v>-0.87530762920426575</v>
      </c>
      <c r="M330" s="62">
        <f>L330*'Расчет субсидий'!Q330</f>
        <v>-17.506152584085314</v>
      </c>
      <c r="N330" s="63">
        <f t="shared" si="123"/>
        <v>-19.235869458094534</v>
      </c>
      <c r="O330" s="62">
        <f>'Расчет субсидий'!R330-1</f>
        <v>0</v>
      </c>
      <c r="P330" s="62">
        <f>O330*'Расчет субсидий'!S330</f>
        <v>0</v>
      </c>
      <c r="Q330" s="63">
        <f t="shared" si="124"/>
        <v>0</v>
      </c>
      <c r="R330" s="62">
        <f>'Расчет субсидий'!V330-1</f>
        <v>-0.20545454545454545</v>
      </c>
      <c r="S330" s="62">
        <f>R330*'Расчет субсидий'!W330</f>
        <v>-4.1090909090909093</v>
      </c>
      <c r="T330" s="63">
        <f t="shared" si="125"/>
        <v>-4.5150946753755603</v>
      </c>
      <c r="U330" s="62">
        <f>'Расчет субсидий'!Z330-1</f>
        <v>0.10000000000000009</v>
      </c>
      <c r="V330" s="62">
        <f>U330*'Расчет субсидий'!AA330</f>
        <v>3.0000000000000027</v>
      </c>
      <c r="W330" s="63">
        <f t="shared" si="126"/>
        <v>3.2964186789246379</v>
      </c>
      <c r="X330" s="62">
        <f t="shared" si="116"/>
        <v>-18.615243493176219</v>
      </c>
    </row>
    <row r="331" spans="1:24" ht="15" customHeight="1">
      <c r="A331" s="36" t="s">
        <v>277</v>
      </c>
      <c r="B331" s="60">
        <f>'Расчет субсидий'!AG331</f>
        <v>15.25454545454545</v>
      </c>
      <c r="C331" s="62">
        <f>'Расчет субсидий'!D331-1</f>
        <v>-0.1875</v>
      </c>
      <c r="D331" s="62">
        <f>C331*'Расчет субсидий'!E331</f>
        <v>-1.875</v>
      </c>
      <c r="E331" s="63">
        <f t="shared" si="122"/>
        <v>-0.56508351620438846</v>
      </c>
      <c r="F331" s="30" t="s">
        <v>376</v>
      </c>
      <c r="G331" s="30" t="s">
        <v>376</v>
      </c>
      <c r="H331" s="30" t="s">
        <v>376</v>
      </c>
      <c r="I331" s="30" t="s">
        <v>376</v>
      </c>
      <c r="J331" s="30" t="s">
        <v>376</v>
      </c>
      <c r="K331" s="30" t="s">
        <v>376</v>
      </c>
      <c r="L331" s="62">
        <f>'Расчет субсидий'!P331-1</f>
        <v>-0.89211618257261405</v>
      </c>
      <c r="M331" s="62">
        <f>L331*'Расчет субсидий'!Q331</f>
        <v>-17.842323651452283</v>
      </c>
      <c r="N331" s="63">
        <f t="shared" si="123"/>
        <v>-5.377281592650335</v>
      </c>
      <c r="O331" s="62">
        <f>'Расчет субсидий'!R331-1</f>
        <v>0</v>
      </c>
      <c r="P331" s="62">
        <f>O331*'Расчет субсидий'!S331</f>
        <v>0</v>
      </c>
      <c r="Q331" s="63">
        <f t="shared" si="124"/>
        <v>0</v>
      </c>
      <c r="R331" s="62">
        <f>'Расчет субсидий'!V331-1</f>
        <v>2.3111111111111113</v>
      </c>
      <c r="S331" s="62">
        <f>R331*'Расчет субсидий'!W331</f>
        <v>69.333333333333343</v>
      </c>
      <c r="T331" s="63">
        <f t="shared" si="125"/>
        <v>20.895532688091169</v>
      </c>
      <c r="U331" s="62">
        <f>'Расчет субсидий'!Z331-1</f>
        <v>5.0000000000000044E-2</v>
      </c>
      <c r="V331" s="62">
        <f>U331*'Расчет субсидий'!AA331</f>
        <v>1.0000000000000009</v>
      </c>
      <c r="W331" s="63">
        <f t="shared" si="126"/>
        <v>0.30137787530900745</v>
      </c>
      <c r="X331" s="62">
        <f t="shared" si="116"/>
        <v>50.61600968188106</v>
      </c>
    </row>
    <row r="332" spans="1:24" ht="15" customHeight="1">
      <c r="A332" s="36" t="s">
        <v>325</v>
      </c>
      <c r="B332" s="60">
        <f>'Расчет субсидий'!AG332</f>
        <v>-38.15454545454547</v>
      </c>
      <c r="C332" s="62">
        <f>'Расчет субсидий'!D332-1</f>
        <v>0.20181818181818167</v>
      </c>
      <c r="D332" s="62">
        <f>C332*'Расчет субсидий'!E332</f>
        <v>2.0181818181818167</v>
      </c>
      <c r="E332" s="63">
        <f t="shared" si="122"/>
        <v>3.2584422223337475</v>
      </c>
      <c r="F332" s="30" t="s">
        <v>376</v>
      </c>
      <c r="G332" s="30" t="s">
        <v>376</v>
      </c>
      <c r="H332" s="30" t="s">
        <v>376</v>
      </c>
      <c r="I332" s="30" t="s">
        <v>376</v>
      </c>
      <c r="J332" s="30" t="s">
        <v>376</v>
      </c>
      <c r="K332" s="30" t="s">
        <v>376</v>
      </c>
      <c r="L332" s="62">
        <f>'Расчет субсидий'!P332-1</f>
        <v>-0.5674984005118362</v>
      </c>
      <c r="M332" s="62">
        <f>L332*'Расчет субсидий'!Q332</f>
        <v>-11.349968010236724</v>
      </c>
      <c r="N332" s="63">
        <f t="shared" si="123"/>
        <v>-18.325016434847743</v>
      </c>
      <c r="O332" s="62">
        <f>'Расчет субсидий'!R332-1</f>
        <v>0</v>
      </c>
      <c r="P332" s="62">
        <f>O332*'Расчет субсидий'!S332</f>
        <v>0</v>
      </c>
      <c r="Q332" s="63">
        <f t="shared" si="124"/>
        <v>0</v>
      </c>
      <c r="R332" s="62">
        <f>'Расчет субсидий'!V332-1</f>
        <v>2.0000000000000018E-2</v>
      </c>
      <c r="S332" s="62">
        <f>R332*'Расчет субсидий'!W332</f>
        <v>0.70000000000000062</v>
      </c>
      <c r="T332" s="63">
        <f t="shared" si="125"/>
        <v>1.1301804104490945</v>
      </c>
      <c r="U332" s="62">
        <f>'Расчет субсидий'!Z332-1</f>
        <v>-1</v>
      </c>
      <c r="V332" s="62">
        <f>U332*'Расчет субсидий'!AA332</f>
        <v>-15</v>
      </c>
      <c r="W332" s="63">
        <f t="shared" si="126"/>
        <v>-24.218151652480575</v>
      </c>
      <c r="X332" s="62">
        <f t="shared" si="116"/>
        <v>-23.631786192054903</v>
      </c>
    </row>
    <row r="333" spans="1:24" ht="15" customHeight="1">
      <c r="A333" s="36" t="s">
        <v>326</v>
      </c>
      <c r="B333" s="60">
        <f>'Расчет субсидий'!AG333</f>
        <v>-33.654545454545456</v>
      </c>
      <c r="C333" s="62">
        <f>'Расчет субсидий'!D333-1</f>
        <v>-1</v>
      </c>
      <c r="D333" s="62">
        <f>C333*'Расчет субсидий'!E333</f>
        <v>0</v>
      </c>
      <c r="E333" s="63">
        <f t="shared" si="122"/>
        <v>0</v>
      </c>
      <c r="F333" s="30" t="s">
        <v>376</v>
      </c>
      <c r="G333" s="30" t="s">
        <v>376</v>
      </c>
      <c r="H333" s="30" t="s">
        <v>376</v>
      </c>
      <c r="I333" s="30" t="s">
        <v>376</v>
      </c>
      <c r="J333" s="30" t="s">
        <v>376</v>
      </c>
      <c r="K333" s="30" t="s">
        <v>376</v>
      </c>
      <c r="L333" s="62">
        <f>'Расчет субсидий'!P333-1</f>
        <v>-0.75374229527443493</v>
      </c>
      <c r="M333" s="62">
        <f>L333*'Расчет субсидий'!Q333</f>
        <v>-15.074845905488699</v>
      </c>
      <c r="N333" s="63">
        <f t="shared" si="123"/>
        <v>-40.526183032419631</v>
      </c>
      <c r="O333" s="62">
        <f>'Расчет субсидий'!R333-1</f>
        <v>0</v>
      </c>
      <c r="P333" s="62">
        <f>O333*'Расчет субсидий'!S333</f>
        <v>0</v>
      </c>
      <c r="Q333" s="63">
        <f t="shared" si="124"/>
        <v>0</v>
      </c>
      <c r="R333" s="62">
        <f>'Расчет субсидий'!V333-1</f>
        <v>1.8536585365853675E-2</v>
      </c>
      <c r="S333" s="62">
        <f>R333*'Расчет субсидий'!W333</f>
        <v>0.55609756097561025</v>
      </c>
      <c r="T333" s="63">
        <f t="shared" si="125"/>
        <v>1.4949745875527825</v>
      </c>
      <c r="U333" s="62">
        <f>'Расчет субсидий'!Z333-1</f>
        <v>9.9999999999999867E-2</v>
      </c>
      <c r="V333" s="62">
        <f>U333*'Расчет субсидий'!AA333</f>
        <v>1.9999999999999973</v>
      </c>
      <c r="W333" s="63">
        <f t="shared" si="126"/>
        <v>5.3766629903213987</v>
      </c>
      <c r="X333" s="62">
        <f t="shared" si="116"/>
        <v>-12.518748344513092</v>
      </c>
    </row>
    <row r="334" spans="1:24" ht="15" customHeight="1">
      <c r="A334" s="36" t="s">
        <v>327</v>
      </c>
      <c r="B334" s="60">
        <f>'Расчет субсидий'!AG334</f>
        <v>-27.781818181818181</v>
      </c>
      <c r="C334" s="62">
        <f>'Расчет субсидий'!D334-1</f>
        <v>2.7777777777777679E-2</v>
      </c>
      <c r="D334" s="62">
        <f>C334*'Расчет субсидий'!E334</f>
        <v>0.27777777777777679</v>
      </c>
      <c r="E334" s="63">
        <f t="shared" si="122"/>
        <v>0.26965552655567593</v>
      </c>
      <c r="F334" s="30" t="s">
        <v>376</v>
      </c>
      <c r="G334" s="30" t="s">
        <v>376</v>
      </c>
      <c r="H334" s="30" t="s">
        <v>376</v>
      </c>
      <c r="I334" s="30" t="s">
        <v>376</v>
      </c>
      <c r="J334" s="30" t="s">
        <v>376</v>
      </c>
      <c r="K334" s="30" t="s">
        <v>376</v>
      </c>
      <c r="L334" s="62">
        <f>'Расчет субсидий'!P334-1</f>
        <v>-0.59482038429406847</v>
      </c>
      <c r="M334" s="62">
        <f>L334*'Расчет субсидий'!Q334</f>
        <v>-11.896407685881369</v>
      </c>
      <c r="N334" s="63">
        <f t="shared" si="123"/>
        <v>-11.548555483166432</v>
      </c>
      <c r="O334" s="62">
        <f>'Расчет субсидий'!R334-1</f>
        <v>0</v>
      </c>
      <c r="P334" s="62">
        <f>O334*'Расчет субсидий'!S334</f>
        <v>0</v>
      </c>
      <c r="Q334" s="63">
        <f t="shared" si="124"/>
        <v>0</v>
      </c>
      <c r="R334" s="62">
        <f>'Расчет субсидий'!V334-1</f>
        <v>-0.5</v>
      </c>
      <c r="S334" s="62">
        <f>R334*'Расчет субсидий'!W334</f>
        <v>-15</v>
      </c>
      <c r="T334" s="63">
        <f t="shared" si="125"/>
        <v>-14.561398434006552</v>
      </c>
      <c r="U334" s="62">
        <f>'Расчет субсидий'!Z334-1</f>
        <v>-9.9999999999999978E-2</v>
      </c>
      <c r="V334" s="62">
        <f>U334*'Расчет субсидий'!AA334</f>
        <v>-1.9999999999999996</v>
      </c>
      <c r="W334" s="63">
        <f t="shared" si="126"/>
        <v>-1.941519791200873</v>
      </c>
      <c r="X334" s="62">
        <f t="shared" si="116"/>
        <v>-28.618629908103593</v>
      </c>
    </row>
    <row r="335" spans="1:24" ht="15" customHeight="1">
      <c r="A335" s="36" t="s">
        <v>328</v>
      </c>
      <c r="B335" s="60">
        <f>'Расчет субсидий'!AG335</f>
        <v>9.0363636363636317</v>
      </c>
      <c r="C335" s="62">
        <f>'Расчет субсидий'!D335-1</f>
        <v>-1</v>
      </c>
      <c r="D335" s="62">
        <f>C335*'Расчет субсидий'!E335</f>
        <v>0</v>
      </c>
      <c r="E335" s="63">
        <f t="shared" si="122"/>
        <v>0</v>
      </c>
      <c r="F335" s="30" t="s">
        <v>376</v>
      </c>
      <c r="G335" s="30" t="s">
        <v>376</v>
      </c>
      <c r="H335" s="30" t="s">
        <v>376</v>
      </c>
      <c r="I335" s="30" t="s">
        <v>376</v>
      </c>
      <c r="J335" s="30" t="s">
        <v>376</v>
      </c>
      <c r="K335" s="30" t="s">
        <v>376</v>
      </c>
      <c r="L335" s="62">
        <f>'Расчет субсидий'!P335-1</f>
        <v>-0.52265589950650515</v>
      </c>
      <c r="M335" s="62">
        <f>L335*'Расчет субсидий'!Q335</f>
        <v>-10.453117990130103</v>
      </c>
      <c r="N335" s="63">
        <f t="shared" si="123"/>
        <v>-3.2457135276135505</v>
      </c>
      <c r="O335" s="62">
        <f>'Расчет субсидий'!R335-1</f>
        <v>0</v>
      </c>
      <c r="P335" s="62">
        <f>O335*'Расчет субсидий'!S335</f>
        <v>0</v>
      </c>
      <c r="Q335" s="63">
        <f t="shared" si="124"/>
        <v>0</v>
      </c>
      <c r="R335" s="62">
        <f>'Расчет субсидий'!V335-1</f>
        <v>2.5777777777777779</v>
      </c>
      <c r="S335" s="62">
        <f>R335*'Расчет субсидий'!W335</f>
        <v>51.555555555555557</v>
      </c>
      <c r="T335" s="63">
        <f t="shared" si="125"/>
        <v>16.00810057327363</v>
      </c>
      <c r="U335" s="62">
        <f>'Расчет субсидий'!Z335-1</f>
        <v>-0.4</v>
      </c>
      <c r="V335" s="62">
        <f>U335*'Расчет субсидий'!AA335</f>
        <v>-12</v>
      </c>
      <c r="W335" s="63">
        <f t="shared" si="126"/>
        <v>-3.7260234092964484</v>
      </c>
      <c r="X335" s="62">
        <f t="shared" si="116"/>
        <v>29.102437565425454</v>
      </c>
    </row>
    <row r="336" spans="1:24" ht="15" customHeight="1">
      <c r="A336" s="36" t="s">
        <v>329</v>
      </c>
      <c r="B336" s="60">
        <f>'Расчет субсидий'!AG336</f>
        <v>-5.5</v>
      </c>
      <c r="C336" s="62">
        <f>'Расчет субсидий'!D336-1</f>
        <v>1.1111111111111072E-2</v>
      </c>
      <c r="D336" s="62">
        <f>C336*'Расчет субсидий'!E336</f>
        <v>0.11111111111111072</v>
      </c>
      <c r="E336" s="63">
        <f t="shared" si="122"/>
        <v>0.10000707513796483</v>
      </c>
      <c r="F336" s="30" t="s">
        <v>376</v>
      </c>
      <c r="G336" s="30" t="s">
        <v>376</v>
      </c>
      <c r="H336" s="30" t="s">
        <v>376</v>
      </c>
      <c r="I336" s="30" t="s">
        <v>376</v>
      </c>
      <c r="J336" s="30" t="s">
        <v>376</v>
      </c>
      <c r="K336" s="30" t="s">
        <v>376</v>
      </c>
      <c r="L336" s="62">
        <f>'Расчет субсидий'!P336-1</f>
        <v>-0.71108949416342404</v>
      </c>
      <c r="M336" s="62">
        <f>L336*'Расчет субсидий'!Q336</f>
        <v>-14.221789883268482</v>
      </c>
      <c r="N336" s="63">
        <f t="shared" si="123"/>
        <v>-12.80051648507146</v>
      </c>
      <c r="O336" s="62">
        <f>'Расчет субсидий'!R336-1</f>
        <v>0</v>
      </c>
      <c r="P336" s="62">
        <f>O336*'Расчет субсидий'!S336</f>
        <v>0</v>
      </c>
      <c r="Q336" s="63">
        <f t="shared" si="124"/>
        <v>0</v>
      </c>
      <c r="R336" s="62">
        <f>'Расчет субсидий'!V336-1</f>
        <v>0.19999999999999996</v>
      </c>
      <c r="S336" s="62">
        <f>R336*'Расчет субсидий'!W336</f>
        <v>5.9999999999999982</v>
      </c>
      <c r="T336" s="63">
        <f t="shared" si="125"/>
        <v>5.4003820574501198</v>
      </c>
      <c r="U336" s="62">
        <f>'Расчет субсидий'!Z336-1</f>
        <v>0.10000000000000009</v>
      </c>
      <c r="V336" s="62">
        <f>U336*'Расчет субсидий'!AA336</f>
        <v>2.0000000000000018</v>
      </c>
      <c r="W336" s="63">
        <f t="shared" si="126"/>
        <v>1.8001273524833752</v>
      </c>
      <c r="X336" s="62">
        <f t="shared" si="116"/>
        <v>-6.110678772157371</v>
      </c>
    </row>
    <row r="337" spans="1:24" ht="15" customHeight="1">
      <c r="A337" s="36" t="s">
        <v>330</v>
      </c>
      <c r="B337" s="60">
        <f>'Расчет субсидий'!AG337</f>
        <v>4.2545454545454504</v>
      </c>
      <c r="C337" s="62">
        <f>'Расчет субсидий'!D337-1</f>
        <v>8.5714285714284522E-3</v>
      </c>
      <c r="D337" s="62">
        <f>C337*'Расчет субсидий'!E337</f>
        <v>8.5714285714284522E-2</v>
      </c>
      <c r="E337" s="63">
        <f t="shared" si="122"/>
        <v>3.590949639120862E-2</v>
      </c>
      <c r="F337" s="30" t="s">
        <v>376</v>
      </c>
      <c r="G337" s="30" t="s">
        <v>376</v>
      </c>
      <c r="H337" s="30" t="s">
        <v>376</v>
      </c>
      <c r="I337" s="30" t="s">
        <v>376</v>
      </c>
      <c r="J337" s="30" t="s">
        <v>376</v>
      </c>
      <c r="K337" s="30" t="s">
        <v>376</v>
      </c>
      <c r="L337" s="62">
        <f>'Расчет субсидий'!P337-1</f>
        <v>-0.49651567944250874</v>
      </c>
      <c r="M337" s="62">
        <f>L337*'Расчет субсидий'!Q337</f>
        <v>-9.9303135888501757</v>
      </c>
      <c r="N337" s="63">
        <f t="shared" si="123"/>
        <v>-4.1602465331278866</v>
      </c>
      <c r="O337" s="62">
        <f>'Расчет субсидий'!R337-1</f>
        <v>0</v>
      </c>
      <c r="P337" s="62">
        <f>O337*'Расчет субсидий'!S337</f>
        <v>0</v>
      </c>
      <c r="Q337" s="63">
        <f t="shared" si="124"/>
        <v>0</v>
      </c>
      <c r="R337" s="62">
        <f>'Расчет субсидий'!V337-1</f>
        <v>0.60000000000000009</v>
      </c>
      <c r="S337" s="62">
        <f>R337*'Расчет субсидий'!W337</f>
        <v>15.000000000000002</v>
      </c>
      <c r="T337" s="63">
        <f t="shared" si="125"/>
        <v>6.284161868461597</v>
      </c>
      <c r="U337" s="62">
        <f>'Расчет субсидий'!Z337-1</f>
        <v>0.19999999999999996</v>
      </c>
      <c r="V337" s="62">
        <f>U337*'Расчет субсидий'!AA337</f>
        <v>4.9999999999999991</v>
      </c>
      <c r="W337" s="63">
        <f t="shared" si="126"/>
        <v>2.0947206228205317</v>
      </c>
      <c r="X337" s="62">
        <f t="shared" si="116"/>
        <v>10.15540069686411</v>
      </c>
    </row>
    <row r="338" spans="1:24" ht="15" customHeight="1">
      <c r="A338" s="36" t="s">
        <v>331</v>
      </c>
      <c r="B338" s="60">
        <f>'Расчет субсидий'!AG338</f>
        <v>-17.272727272727266</v>
      </c>
      <c r="C338" s="62">
        <f>'Расчет субсидий'!D338-1</f>
        <v>-0.40748299319727899</v>
      </c>
      <c r="D338" s="62">
        <f>C338*'Расчет субсидий'!E338</f>
        <v>-4.0748299319727899</v>
      </c>
      <c r="E338" s="63">
        <f t="shared" si="122"/>
        <v>-3.3108751207910521</v>
      </c>
      <c r="F338" s="30" t="s">
        <v>376</v>
      </c>
      <c r="G338" s="30" t="s">
        <v>376</v>
      </c>
      <c r="H338" s="30" t="s">
        <v>376</v>
      </c>
      <c r="I338" s="30" t="s">
        <v>376</v>
      </c>
      <c r="J338" s="30" t="s">
        <v>376</v>
      </c>
      <c r="K338" s="30" t="s">
        <v>376</v>
      </c>
      <c r="L338" s="62">
        <f>'Расчет субсидий'!P338-1</f>
        <v>-0.78789850357839941</v>
      </c>
      <c r="M338" s="62">
        <f>L338*'Расчет субсидий'!Q338</f>
        <v>-15.757970071567989</v>
      </c>
      <c r="N338" s="63">
        <f t="shared" si="123"/>
        <v>-12.803643817072274</v>
      </c>
      <c r="O338" s="62">
        <f>'Расчет субсидий'!R338-1</f>
        <v>0</v>
      </c>
      <c r="P338" s="62">
        <f>O338*'Расчет субсидий'!S338</f>
        <v>0</v>
      </c>
      <c r="Q338" s="63">
        <f t="shared" si="124"/>
        <v>0</v>
      </c>
      <c r="R338" s="62">
        <f>'Расчет субсидий'!V338-1</f>
        <v>-0.34727272727272729</v>
      </c>
      <c r="S338" s="62">
        <f>R338*'Расчет субсидий'!W338</f>
        <v>-6.9454545454545453</v>
      </c>
      <c r="T338" s="63">
        <f t="shared" si="125"/>
        <v>-5.6433110193625948</v>
      </c>
      <c r="U338" s="62">
        <f>'Расчет субсидий'!Z338-1</f>
        <v>0.18400000000000016</v>
      </c>
      <c r="V338" s="62">
        <f>U338*'Расчет субсидий'!AA338</f>
        <v>5.5200000000000049</v>
      </c>
      <c r="W338" s="63">
        <f t="shared" si="126"/>
        <v>4.4851026844986528</v>
      </c>
      <c r="X338" s="62">
        <f t="shared" si="116"/>
        <v>-21.258254548995318</v>
      </c>
    </row>
    <row r="339" spans="1:24" ht="15" customHeight="1">
      <c r="A339" s="36" t="s">
        <v>332</v>
      </c>
      <c r="B339" s="60">
        <f>'Расчет субсидий'!AG339</f>
        <v>-12.681818181818187</v>
      </c>
      <c r="C339" s="62">
        <f>'Расчет субсидий'!D339-1</f>
        <v>8.8830486202365222E-2</v>
      </c>
      <c r="D339" s="62">
        <f>C339*'Расчет субсидий'!E339</f>
        <v>0.88830486202365222</v>
      </c>
      <c r="E339" s="63">
        <f t="shared" si="122"/>
        <v>2.7807654781666749</v>
      </c>
      <c r="F339" s="30" t="s">
        <v>376</v>
      </c>
      <c r="G339" s="30" t="s">
        <v>376</v>
      </c>
      <c r="H339" s="30" t="s">
        <v>376</v>
      </c>
      <c r="I339" s="30" t="s">
        <v>376</v>
      </c>
      <c r="J339" s="30" t="s">
        <v>376</v>
      </c>
      <c r="K339" s="30" t="s">
        <v>376</v>
      </c>
      <c r="L339" s="62">
        <f>'Расчет субсидий'!P339-1</f>
        <v>-0.38804457953394123</v>
      </c>
      <c r="M339" s="62">
        <f>L339*'Расчет субсидий'!Q339</f>
        <v>-7.7608915906788241</v>
      </c>
      <c r="N339" s="63">
        <f t="shared" si="123"/>
        <v>-24.294834282443787</v>
      </c>
      <c r="O339" s="62">
        <f>'Расчет субсидий'!R339-1</f>
        <v>0</v>
      </c>
      <c r="P339" s="62">
        <f>O339*'Расчет субсидий'!S339</f>
        <v>0</v>
      </c>
      <c r="Q339" s="63">
        <f t="shared" si="124"/>
        <v>0</v>
      </c>
      <c r="R339" s="62">
        <f>'Расчет субсидий'!V339-1</f>
        <v>2.8571428571428692E-2</v>
      </c>
      <c r="S339" s="62">
        <f>R339*'Расчет субсидий'!W339</f>
        <v>0.57142857142857384</v>
      </c>
      <c r="T339" s="63">
        <f t="shared" si="125"/>
        <v>1.7888102526499159</v>
      </c>
      <c r="U339" s="62">
        <f>'Расчет субсидий'!Z339-1</f>
        <v>7.4999999999999956E-2</v>
      </c>
      <c r="V339" s="62">
        <f>U339*'Расчет субсидий'!AA339</f>
        <v>2.2499999999999987</v>
      </c>
      <c r="W339" s="63">
        <f t="shared" si="126"/>
        <v>7.0434403698090096</v>
      </c>
      <c r="X339" s="62">
        <f t="shared" si="116"/>
        <v>-4.0511581572265989</v>
      </c>
    </row>
    <row r="340" spans="1:24" ht="15" customHeight="1">
      <c r="A340" s="35" t="s">
        <v>333</v>
      </c>
      <c r="B340" s="64"/>
      <c r="C340" s="65"/>
      <c r="D340" s="65"/>
      <c r="E340" s="66"/>
      <c r="F340" s="65"/>
      <c r="G340" s="65"/>
      <c r="H340" s="66"/>
      <c r="I340" s="66"/>
      <c r="J340" s="66"/>
      <c r="K340" s="66"/>
      <c r="L340" s="65"/>
      <c r="M340" s="65"/>
      <c r="N340" s="66"/>
      <c r="O340" s="65"/>
      <c r="P340" s="65"/>
      <c r="Q340" s="66"/>
      <c r="R340" s="65"/>
      <c r="S340" s="65"/>
      <c r="T340" s="66"/>
      <c r="U340" s="65"/>
      <c r="V340" s="65"/>
      <c r="W340" s="66"/>
      <c r="X340" s="66"/>
    </row>
    <row r="341" spans="1:24" ht="15" customHeight="1">
      <c r="A341" s="36" t="s">
        <v>334</v>
      </c>
      <c r="B341" s="60">
        <f>'Расчет субсидий'!AG341</f>
        <v>-16.72727272727272</v>
      </c>
      <c r="C341" s="62">
        <f>'Расчет субсидий'!D341-1</f>
        <v>-3.3333333333333326E-2</v>
      </c>
      <c r="D341" s="62">
        <f>C341*'Расчет субсидий'!E341</f>
        <v>-0.33333333333333326</v>
      </c>
      <c r="E341" s="63">
        <f t="shared" ref="E341:E351" si="127">$B341*D341/$X341</f>
        <v>-0.62148623825303162</v>
      </c>
      <c r="F341" s="30" t="s">
        <v>376</v>
      </c>
      <c r="G341" s="30" t="s">
        <v>376</v>
      </c>
      <c r="H341" s="30" t="s">
        <v>376</v>
      </c>
      <c r="I341" s="30" t="s">
        <v>376</v>
      </c>
      <c r="J341" s="30" t="s">
        <v>376</v>
      </c>
      <c r="K341" s="30" t="s">
        <v>376</v>
      </c>
      <c r="L341" s="62">
        <f>'Расчет субсидий'!P341-1</f>
        <v>-0.56004087889626986</v>
      </c>
      <c r="M341" s="62">
        <f>L341*'Расчет субсидий'!Q341</f>
        <v>-11.200817577925397</v>
      </c>
      <c r="N341" s="63">
        <f t="shared" ref="N341:N351" si="128">$B341*M341/$X341</f>
        <v>-20.883461945589868</v>
      </c>
      <c r="O341" s="62">
        <f>'Расчет субсидий'!R341-1</f>
        <v>0</v>
      </c>
      <c r="P341" s="62">
        <f>O341*'Расчет субсидий'!S341</f>
        <v>0</v>
      </c>
      <c r="Q341" s="63">
        <f t="shared" ref="Q341:Q351" si="129">$B341*P341/$X341</f>
        <v>0</v>
      </c>
      <c r="R341" s="62">
        <f>'Расчет субсидий'!V341-1</f>
        <v>2.4999999999999467E-3</v>
      </c>
      <c r="S341" s="62">
        <f>R341*'Расчет субсидий'!W341</f>
        <v>6.2499999999998668E-2</v>
      </c>
      <c r="T341" s="63">
        <f t="shared" ref="T341:T351" si="130">$B341*S341/$X341</f>
        <v>0.11652866967244098</v>
      </c>
      <c r="U341" s="62">
        <f>'Расчет субсидий'!Z341-1</f>
        <v>0.10000000000000009</v>
      </c>
      <c r="V341" s="62">
        <f>U341*'Расчет субсидий'!AA341</f>
        <v>2.5000000000000022</v>
      </c>
      <c r="W341" s="63">
        <f t="shared" ref="W341:W351" si="131">$B341*V341/$X341</f>
        <v>4.6611467868977421</v>
      </c>
      <c r="X341" s="62">
        <f t="shared" si="116"/>
        <v>-8.971650911258731</v>
      </c>
    </row>
    <row r="342" spans="1:24" ht="15" customHeight="1">
      <c r="A342" s="36" t="s">
        <v>335</v>
      </c>
      <c r="B342" s="60">
        <f>'Расчет субсидий'!AG342</f>
        <v>41.554545454545462</v>
      </c>
      <c r="C342" s="62">
        <f>'Расчет субсидий'!D342-1</f>
        <v>-1</v>
      </c>
      <c r="D342" s="62">
        <f>C342*'Расчет субсидий'!E342</f>
        <v>0</v>
      </c>
      <c r="E342" s="63">
        <f t="shared" si="127"/>
        <v>0</v>
      </c>
      <c r="F342" s="30" t="s">
        <v>376</v>
      </c>
      <c r="G342" s="30" t="s">
        <v>376</v>
      </c>
      <c r="H342" s="30" t="s">
        <v>376</v>
      </c>
      <c r="I342" s="30" t="s">
        <v>376</v>
      </c>
      <c r="J342" s="30" t="s">
        <v>376</v>
      </c>
      <c r="K342" s="30" t="s">
        <v>376</v>
      </c>
      <c r="L342" s="62">
        <f>'Расчет субсидий'!P342-1</f>
        <v>6.7025089605734776</v>
      </c>
      <c r="M342" s="62">
        <f>L342*'Расчет субсидий'!Q342</f>
        <v>134.05017921146955</v>
      </c>
      <c r="N342" s="63">
        <f t="shared" si="128"/>
        <v>40.943674587702205</v>
      </c>
      <c r="O342" s="62">
        <f>'Расчет субсидий'!R342-1</f>
        <v>0</v>
      </c>
      <c r="P342" s="62">
        <f>O342*'Расчет субсидий'!S342</f>
        <v>0</v>
      </c>
      <c r="Q342" s="63">
        <f t="shared" si="129"/>
        <v>0</v>
      </c>
      <c r="R342" s="62">
        <f>'Расчет субсидий'!V342-1</f>
        <v>0</v>
      </c>
      <c r="S342" s="62">
        <f>R342*'Расчет субсидий'!W342</f>
        <v>0</v>
      </c>
      <c r="T342" s="63">
        <f t="shared" si="130"/>
        <v>0</v>
      </c>
      <c r="U342" s="62">
        <f>'Расчет субсидий'!Z342-1</f>
        <v>0.10000000000000009</v>
      </c>
      <c r="V342" s="62">
        <f>U342*'Расчет субсидий'!AA342</f>
        <v>2.0000000000000018</v>
      </c>
      <c r="W342" s="63">
        <f t="shared" si="131"/>
        <v>0.61087086684325786</v>
      </c>
      <c r="X342" s="62">
        <f t="shared" si="116"/>
        <v>136.05017921146955</v>
      </c>
    </row>
    <row r="343" spans="1:24" ht="15" customHeight="1">
      <c r="A343" s="36" t="s">
        <v>336</v>
      </c>
      <c r="B343" s="60">
        <f>'Расчет субсидий'!AG343</f>
        <v>28.590909090909093</v>
      </c>
      <c r="C343" s="62">
        <f>'Расчет субсидий'!D343-1</f>
        <v>4.6153846153846212E-2</v>
      </c>
      <c r="D343" s="62">
        <f>C343*'Расчет субсидий'!E343</f>
        <v>0.46153846153846212</v>
      </c>
      <c r="E343" s="63">
        <f t="shared" si="127"/>
        <v>0.3060038767383037</v>
      </c>
      <c r="F343" s="30" t="s">
        <v>376</v>
      </c>
      <c r="G343" s="30" t="s">
        <v>376</v>
      </c>
      <c r="H343" s="30" t="s">
        <v>376</v>
      </c>
      <c r="I343" s="30" t="s">
        <v>376</v>
      </c>
      <c r="J343" s="30" t="s">
        <v>376</v>
      </c>
      <c r="K343" s="30" t="s">
        <v>376</v>
      </c>
      <c r="L343" s="62">
        <f>'Расчет субсидий'!P343-1</f>
        <v>2.12890625</v>
      </c>
      <c r="M343" s="62">
        <f>L343*'Расчет субсидий'!Q343</f>
        <v>42.578125</v>
      </c>
      <c r="N343" s="63">
        <f t="shared" si="128"/>
        <v>28.229654514204153</v>
      </c>
      <c r="O343" s="62">
        <f>'Расчет субсидий'!R343-1</f>
        <v>0</v>
      </c>
      <c r="P343" s="62">
        <f>O343*'Расчет субсидий'!S343</f>
        <v>0</v>
      </c>
      <c r="Q343" s="63">
        <f t="shared" si="129"/>
        <v>0</v>
      </c>
      <c r="R343" s="62">
        <f>'Расчет субсидий'!V343-1</f>
        <v>2.7777777777777679E-3</v>
      </c>
      <c r="S343" s="62">
        <f>R343*'Расчет субсидий'!W343</f>
        <v>8.3333333333333037E-2</v>
      </c>
      <c r="T343" s="63">
        <f t="shared" si="130"/>
        <v>5.5250699966637902E-2</v>
      </c>
      <c r="U343" s="62">
        <f>'Расчет субсидий'!Z343-1</f>
        <v>0</v>
      </c>
      <c r="V343" s="62">
        <f>U343*'Расчет субсидий'!AA343</f>
        <v>0</v>
      </c>
      <c r="W343" s="63">
        <f t="shared" si="131"/>
        <v>0</v>
      </c>
      <c r="X343" s="62">
        <f t="shared" si="116"/>
        <v>43.122996794871796</v>
      </c>
    </row>
    <row r="344" spans="1:24" ht="15" customHeight="1">
      <c r="A344" s="36" t="s">
        <v>337</v>
      </c>
      <c r="B344" s="60">
        <f>'Расчет субсидий'!AG344</f>
        <v>55.072727272727292</v>
      </c>
      <c r="C344" s="62">
        <f>'Расчет субсидий'!D344-1</f>
        <v>5.6818181818174551E-4</v>
      </c>
      <c r="D344" s="62">
        <f>C344*'Расчет субсидий'!E344</f>
        <v>5.6818181818174551E-3</v>
      </c>
      <c r="E344" s="63">
        <f t="shared" si="127"/>
        <v>2.4478395575938438E-3</v>
      </c>
      <c r="F344" s="30" t="s">
        <v>376</v>
      </c>
      <c r="G344" s="30" t="s">
        <v>376</v>
      </c>
      <c r="H344" s="30" t="s">
        <v>376</v>
      </c>
      <c r="I344" s="30" t="s">
        <v>376</v>
      </c>
      <c r="J344" s="30" t="s">
        <v>376</v>
      </c>
      <c r="K344" s="30" t="s">
        <v>376</v>
      </c>
      <c r="L344" s="62">
        <f>'Расчет субсидий'!P344-1</f>
        <v>6.3913362701908971</v>
      </c>
      <c r="M344" s="62">
        <f>L344*'Расчет субсидий'!Q344</f>
        <v>127.82672540381795</v>
      </c>
      <c r="N344" s="63">
        <f t="shared" si="128"/>
        <v>55.070279433169695</v>
      </c>
      <c r="O344" s="62">
        <f>'Расчет субсидий'!R344-1</f>
        <v>0</v>
      </c>
      <c r="P344" s="62">
        <f>O344*'Расчет субсидий'!S344</f>
        <v>0</v>
      </c>
      <c r="Q344" s="63">
        <f t="shared" si="129"/>
        <v>0</v>
      </c>
      <c r="R344" s="62">
        <f>'Расчет субсидий'!V344-1</f>
        <v>0</v>
      </c>
      <c r="S344" s="62">
        <f>R344*'Расчет субсидий'!W344</f>
        <v>0</v>
      </c>
      <c r="T344" s="63">
        <f t="shared" si="130"/>
        <v>0</v>
      </c>
      <c r="U344" s="62">
        <f>'Расчет субсидий'!Z344-1</f>
        <v>0</v>
      </c>
      <c r="V344" s="62">
        <f>U344*'Расчет субсидий'!AA344</f>
        <v>0</v>
      </c>
      <c r="W344" s="63">
        <f t="shared" si="131"/>
        <v>0</v>
      </c>
      <c r="X344" s="62">
        <f t="shared" si="116"/>
        <v>127.83240722199976</v>
      </c>
    </row>
    <row r="345" spans="1:24" ht="15" customHeight="1">
      <c r="A345" s="36" t="s">
        <v>338</v>
      </c>
      <c r="B345" s="60">
        <f>'Расчет субсидий'!AG345</f>
        <v>-14.336363636363643</v>
      </c>
      <c r="C345" s="62">
        <f>'Расчет субсидий'!D345-1</f>
        <v>0</v>
      </c>
      <c r="D345" s="62">
        <f>C345*'Расчет субсидий'!E345</f>
        <v>0</v>
      </c>
      <c r="E345" s="63">
        <f t="shared" si="127"/>
        <v>0</v>
      </c>
      <c r="F345" s="30" t="s">
        <v>376</v>
      </c>
      <c r="G345" s="30" t="s">
        <v>376</v>
      </c>
      <c r="H345" s="30" t="s">
        <v>376</v>
      </c>
      <c r="I345" s="30" t="s">
        <v>376</v>
      </c>
      <c r="J345" s="30" t="s">
        <v>376</v>
      </c>
      <c r="K345" s="30" t="s">
        <v>376</v>
      </c>
      <c r="L345" s="62">
        <f>'Расчет субсидий'!P345-1</f>
        <v>-0.89146706586826352</v>
      </c>
      <c r="M345" s="62">
        <f>L345*'Расчет субсидий'!Q345</f>
        <v>-17.82934131736527</v>
      </c>
      <c r="N345" s="63">
        <f t="shared" si="128"/>
        <v>-14.336363636363643</v>
      </c>
      <c r="O345" s="62">
        <f>'Расчет субсидий'!R345-1</f>
        <v>0</v>
      </c>
      <c r="P345" s="62">
        <f>O345*'Расчет субсидий'!S345</f>
        <v>0</v>
      </c>
      <c r="Q345" s="63">
        <f t="shared" si="129"/>
        <v>0</v>
      </c>
      <c r="R345" s="62">
        <f>'Расчет субсидий'!V345-1</f>
        <v>0</v>
      </c>
      <c r="S345" s="62">
        <f>R345*'Расчет субсидий'!W345</f>
        <v>0</v>
      </c>
      <c r="T345" s="63">
        <f t="shared" si="130"/>
        <v>0</v>
      </c>
      <c r="U345" s="62">
        <f>'Расчет субсидий'!Z345-1</f>
        <v>0</v>
      </c>
      <c r="V345" s="62">
        <f>U345*'Расчет субсидий'!AA345</f>
        <v>0</v>
      </c>
      <c r="W345" s="63">
        <f t="shared" si="131"/>
        <v>0</v>
      </c>
      <c r="X345" s="62">
        <f t="shared" si="116"/>
        <v>-17.82934131736527</v>
      </c>
    </row>
    <row r="346" spans="1:24" ht="15" customHeight="1">
      <c r="A346" s="36" t="s">
        <v>339</v>
      </c>
      <c r="B346" s="60">
        <f>'Расчет субсидий'!AG346</f>
        <v>-2.7272727272727266</v>
      </c>
      <c r="C346" s="62">
        <f>'Расчет субсидий'!D346-1</f>
        <v>-3.7777777777777799E-2</v>
      </c>
      <c r="D346" s="62">
        <f>C346*'Расчет субсидий'!E346</f>
        <v>-0.37777777777777799</v>
      </c>
      <c r="E346" s="63">
        <f t="shared" si="127"/>
        <v>-7.5531261607498609E-2</v>
      </c>
      <c r="F346" s="30" t="s">
        <v>376</v>
      </c>
      <c r="G346" s="30" t="s">
        <v>376</v>
      </c>
      <c r="H346" s="30" t="s">
        <v>376</v>
      </c>
      <c r="I346" s="30" t="s">
        <v>376</v>
      </c>
      <c r="J346" s="30" t="s">
        <v>376</v>
      </c>
      <c r="K346" s="30" t="s">
        <v>376</v>
      </c>
      <c r="L346" s="62">
        <f>'Расчет субсидий'!P346-1</f>
        <v>-0.66314859358892542</v>
      </c>
      <c r="M346" s="62">
        <f>L346*'Расчет субсидий'!Q346</f>
        <v>-13.262971871778507</v>
      </c>
      <c r="N346" s="63">
        <f t="shared" si="128"/>
        <v>-2.6517414656652281</v>
      </c>
      <c r="O346" s="62">
        <f>'Расчет субсидий'!R346-1</f>
        <v>0</v>
      </c>
      <c r="P346" s="62">
        <f>O346*'Расчет субсидий'!S346</f>
        <v>0</v>
      </c>
      <c r="Q346" s="63">
        <f t="shared" si="129"/>
        <v>0</v>
      </c>
      <c r="R346" s="62">
        <f>'Расчет субсидий'!V346-1</f>
        <v>0</v>
      </c>
      <c r="S346" s="62">
        <f>R346*'Расчет субсидий'!W346</f>
        <v>0</v>
      </c>
      <c r="T346" s="63">
        <f t="shared" si="130"/>
        <v>0</v>
      </c>
      <c r="U346" s="62">
        <f>'Расчет субсидий'!Z346-1</f>
        <v>0</v>
      </c>
      <c r="V346" s="62">
        <f>U346*'Расчет субсидий'!AA346</f>
        <v>0</v>
      </c>
      <c r="W346" s="63">
        <f t="shared" si="131"/>
        <v>0</v>
      </c>
      <c r="X346" s="62">
        <f t="shared" si="116"/>
        <v>-13.640749649556286</v>
      </c>
    </row>
    <row r="347" spans="1:24" ht="15" customHeight="1">
      <c r="A347" s="36" t="s">
        <v>340</v>
      </c>
      <c r="B347" s="60">
        <f>'Расчет субсидий'!AG347</f>
        <v>-14.636363636363626</v>
      </c>
      <c r="C347" s="62">
        <f>'Расчет субсидий'!D347-1</f>
        <v>-1</v>
      </c>
      <c r="D347" s="62">
        <f>C347*'Расчет субсидий'!E347</f>
        <v>0</v>
      </c>
      <c r="E347" s="63">
        <f t="shared" si="127"/>
        <v>0</v>
      </c>
      <c r="F347" s="30" t="s">
        <v>376</v>
      </c>
      <c r="G347" s="30" t="s">
        <v>376</v>
      </c>
      <c r="H347" s="30" t="s">
        <v>376</v>
      </c>
      <c r="I347" s="30" t="s">
        <v>376</v>
      </c>
      <c r="J347" s="30" t="s">
        <v>376</v>
      </c>
      <c r="K347" s="30" t="s">
        <v>376</v>
      </c>
      <c r="L347" s="62">
        <f>'Расчет субсидий'!P347-1</f>
        <v>-0.49856733524355301</v>
      </c>
      <c r="M347" s="62">
        <f>L347*'Расчет субсидий'!Q347</f>
        <v>-9.9713467048710598</v>
      </c>
      <c r="N347" s="63">
        <f t="shared" si="128"/>
        <v>-17.227987638946534</v>
      </c>
      <c r="O347" s="62">
        <f>'Расчет субсидий'!R347-1</f>
        <v>0</v>
      </c>
      <c r="P347" s="62">
        <f>O347*'Расчет субсидий'!S347</f>
        <v>0</v>
      </c>
      <c r="Q347" s="63">
        <f t="shared" si="129"/>
        <v>0</v>
      </c>
      <c r="R347" s="62">
        <f>'Расчет субсидий'!V347-1</f>
        <v>0</v>
      </c>
      <c r="S347" s="62">
        <f>R347*'Расчет субсидий'!W347</f>
        <v>0</v>
      </c>
      <c r="T347" s="63">
        <f t="shared" si="130"/>
        <v>0</v>
      </c>
      <c r="U347" s="62">
        <f>'Расчет субсидий'!Z347-1</f>
        <v>5.0000000000000044E-2</v>
      </c>
      <c r="V347" s="62">
        <f>U347*'Расчет субсидий'!AA347</f>
        <v>1.5000000000000013</v>
      </c>
      <c r="W347" s="63">
        <f t="shared" si="131"/>
        <v>2.5916240025829076</v>
      </c>
      <c r="X347" s="62">
        <f t="shared" si="116"/>
        <v>-8.471346704871058</v>
      </c>
    </row>
    <row r="348" spans="1:24" ht="15" customHeight="1">
      <c r="A348" s="36" t="s">
        <v>341</v>
      </c>
      <c r="B348" s="60">
        <f>'Расчет субсидий'!AG348</f>
        <v>-2.018181818181823</v>
      </c>
      <c r="C348" s="62">
        <f>'Расчет субсидий'!D348-1</f>
        <v>0.10000000000000009</v>
      </c>
      <c r="D348" s="62">
        <f>C348*'Расчет субсидий'!E348</f>
        <v>1.0000000000000009</v>
      </c>
      <c r="E348" s="63">
        <f t="shared" si="127"/>
        <v>0.44379105027315835</v>
      </c>
      <c r="F348" s="30" t="s">
        <v>376</v>
      </c>
      <c r="G348" s="30" t="s">
        <v>376</v>
      </c>
      <c r="H348" s="30" t="s">
        <v>376</v>
      </c>
      <c r="I348" s="30" t="s">
        <v>376</v>
      </c>
      <c r="J348" s="30" t="s">
        <v>376</v>
      </c>
      <c r="K348" s="30" t="s">
        <v>376</v>
      </c>
      <c r="L348" s="62">
        <f>'Расчет субсидий'!P348-1</f>
        <v>-0.27737973387922221</v>
      </c>
      <c r="M348" s="62">
        <f>L348*'Расчет субсидий'!Q348</f>
        <v>-5.5475946775844438</v>
      </c>
      <c r="N348" s="63">
        <f t="shared" si="128"/>
        <v>-2.4619728684549811</v>
      </c>
      <c r="O348" s="62">
        <f>'Расчет субсидий'!R348-1</f>
        <v>0</v>
      </c>
      <c r="P348" s="62">
        <f>O348*'Расчет субсидий'!S348</f>
        <v>0</v>
      </c>
      <c r="Q348" s="63">
        <f t="shared" si="129"/>
        <v>0</v>
      </c>
      <c r="R348" s="62">
        <f>'Расчет субсидий'!V348-1</f>
        <v>0</v>
      </c>
      <c r="S348" s="62">
        <f>R348*'Расчет субсидий'!W348</f>
        <v>0</v>
      </c>
      <c r="T348" s="63">
        <f t="shared" si="130"/>
        <v>0</v>
      </c>
      <c r="U348" s="62">
        <f>'Расчет субсидий'!Z348-1</f>
        <v>0</v>
      </c>
      <c r="V348" s="62">
        <f>U348*'Расчет субсидий'!AA348</f>
        <v>0</v>
      </c>
      <c r="W348" s="63">
        <f t="shared" si="131"/>
        <v>0</v>
      </c>
      <c r="X348" s="62">
        <f t="shared" si="116"/>
        <v>-4.5475946775844429</v>
      </c>
    </row>
    <row r="349" spans="1:24" ht="15" customHeight="1">
      <c r="A349" s="36" t="s">
        <v>342</v>
      </c>
      <c r="B349" s="60">
        <f>'Расчет субсидий'!AG349</f>
        <v>-3.454545454545439</v>
      </c>
      <c r="C349" s="62">
        <f>'Расчет субсидий'!D349-1</f>
        <v>-0.12009639564124053</v>
      </c>
      <c r="D349" s="62">
        <f>C349*'Расчет субсидий'!E349</f>
        <v>-1.2009639564124053</v>
      </c>
      <c r="E349" s="63">
        <f t="shared" si="127"/>
        <v>-4.6039540745091223</v>
      </c>
      <c r="F349" s="30" t="s">
        <v>376</v>
      </c>
      <c r="G349" s="30" t="s">
        <v>376</v>
      </c>
      <c r="H349" s="30" t="s">
        <v>376</v>
      </c>
      <c r="I349" s="30" t="s">
        <v>376</v>
      </c>
      <c r="J349" s="30" t="s">
        <v>376</v>
      </c>
      <c r="K349" s="30" t="s">
        <v>376</v>
      </c>
      <c r="L349" s="62">
        <f>'Расчет субсидий'!P349-1</f>
        <v>-7.8341890093173605E-2</v>
      </c>
      <c r="M349" s="62">
        <f>L349*'Расчет субсидий'!Q349</f>
        <v>-1.5668378018634721</v>
      </c>
      <c r="N349" s="63">
        <f t="shared" si="128"/>
        <v>-6.0065493585114025</v>
      </c>
      <c r="O349" s="62">
        <f>'Расчет субсидий'!R349-1</f>
        <v>0</v>
      </c>
      <c r="P349" s="62">
        <f>O349*'Расчет субсидий'!S349</f>
        <v>0</v>
      </c>
      <c r="Q349" s="63">
        <f t="shared" si="129"/>
        <v>0</v>
      </c>
      <c r="R349" s="62">
        <f>'Расчет субсидий'!V349-1</f>
        <v>9.3333333333333268E-2</v>
      </c>
      <c r="S349" s="62">
        <f>R349*'Расчет субсидий'!W349</f>
        <v>1.8666666666666654</v>
      </c>
      <c r="T349" s="63">
        <f t="shared" si="130"/>
        <v>7.1559579784750849</v>
      </c>
      <c r="U349" s="62">
        <f>'Расчет субсидий'!Z349-1</f>
        <v>0</v>
      </c>
      <c r="V349" s="62">
        <f>U349*'Расчет субсидий'!AA349</f>
        <v>0</v>
      </c>
      <c r="W349" s="63">
        <f t="shared" si="131"/>
        <v>0</v>
      </c>
      <c r="X349" s="62">
        <f t="shared" si="116"/>
        <v>-0.90113509160921179</v>
      </c>
    </row>
    <row r="350" spans="1:24" ht="15" customHeight="1">
      <c r="A350" s="36" t="s">
        <v>343</v>
      </c>
      <c r="B350" s="60">
        <f>'Расчет субсидий'!AG350</f>
        <v>-11.727272727272727</v>
      </c>
      <c r="C350" s="62">
        <f>'Расчет субсидий'!D350-1</f>
        <v>5.6603773584905648E-2</v>
      </c>
      <c r="D350" s="62">
        <f>C350*'Расчет субсидий'!E350</f>
        <v>0.56603773584905648</v>
      </c>
      <c r="E350" s="63">
        <f t="shared" si="127"/>
        <v>0.36901102686681631</v>
      </c>
      <c r="F350" s="30" t="s">
        <v>376</v>
      </c>
      <c r="G350" s="30" t="s">
        <v>376</v>
      </c>
      <c r="H350" s="30" t="s">
        <v>376</v>
      </c>
      <c r="I350" s="30" t="s">
        <v>376</v>
      </c>
      <c r="J350" s="30" t="s">
        <v>376</v>
      </c>
      <c r="K350" s="30" t="s">
        <v>376</v>
      </c>
      <c r="L350" s="62">
        <f>'Расчет субсидий'!P350-1</f>
        <v>-0.92774369461486028</v>
      </c>
      <c r="M350" s="62">
        <f>L350*'Расчет субсидий'!Q350</f>
        <v>-18.554873892297206</v>
      </c>
      <c r="N350" s="63">
        <f t="shared" si="128"/>
        <v>-12.096283754139543</v>
      </c>
      <c r="O350" s="62">
        <f>'Расчет субсидий'!R350-1</f>
        <v>0</v>
      </c>
      <c r="P350" s="62">
        <f>O350*'Расчет субсидий'!S350</f>
        <v>0</v>
      </c>
      <c r="Q350" s="63">
        <f t="shared" si="129"/>
        <v>0</v>
      </c>
      <c r="R350" s="62">
        <f>'Расчет субсидий'!V350-1</f>
        <v>0</v>
      </c>
      <c r="S350" s="62">
        <f>R350*'Расчет субсидий'!W350</f>
        <v>0</v>
      </c>
      <c r="T350" s="63">
        <f t="shared" si="130"/>
        <v>0</v>
      </c>
      <c r="U350" s="62">
        <f>'Расчет субсидий'!Z350-1</f>
        <v>0</v>
      </c>
      <c r="V350" s="62">
        <f>U350*'Расчет субсидий'!AA350</f>
        <v>0</v>
      </c>
      <c r="W350" s="63">
        <f t="shared" si="131"/>
        <v>0</v>
      </c>
      <c r="X350" s="62">
        <f t="shared" si="116"/>
        <v>-17.988836156448148</v>
      </c>
    </row>
    <row r="351" spans="1:24" ht="15" customHeight="1">
      <c r="A351" s="36" t="s">
        <v>344</v>
      </c>
      <c r="B351" s="60">
        <f>'Расчет субсидий'!AG351</f>
        <v>-10.400000000000006</v>
      </c>
      <c r="C351" s="62">
        <f>'Расчет субсидий'!D351-1</f>
        <v>-0.16904761904761911</v>
      </c>
      <c r="D351" s="62">
        <f>C351*'Расчет субсидий'!E351</f>
        <v>-1.6904761904761911</v>
      </c>
      <c r="E351" s="63">
        <f t="shared" si="127"/>
        <v>-3.3352452711098857</v>
      </c>
      <c r="F351" s="30" t="s">
        <v>376</v>
      </c>
      <c r="G351" s="30" t="s">
        <v>376</v>
      </c>
      <c r="H351" s="30" t="s">
        <v>376</v>
      </c>
      <c r="I351" s="30" t="s">
        <v>376</v>
      </c>
      <c r="J351" s="30" t="s">
        <v>376</v>
      </c>
      <c r="K351" s="30" t="s">
        <v>376</v>
      </c>
      <c r="L351" s="62">
        <f>'Расчет субсидий'!P351-1</f>
        <v>-0.17903930131004375</v>
      </c>
      <c r="M351" s="62">
        <f>L351*'Расчет субсидий'!Q351</f>
        <v>-3.580786026200875</v>
      </c>
      <c r="N351" s="63">
        <f t="shared" si="128"/>
        <v>-7.0647547288901205</v>
      </c>
      <c r="O351" s="62">
        <f>'Расчет субсидий'!R351-1</f>
        <v>0</v>
      </c>
      <c r="P351" s="62">
        <f>O351*'Расчет субсидий'!S351</f>
        <v>0</v>
      </c>
      <c r="Q351" s="63">
        <f t="shared" si="129"/>
        <v>0</v>
      </c>
      <c r="R351" s="62">
        <f>'Расчет субсидий'!V351-1</f>
        <v>0</v>
      </c>
      <c r="S351" s="62">
        <f>R351*'Расчет субсидий'!W351</f>
        <v>0</v>
      </c>
      <c r="T351" s="63">
        <f t="shared" si="130"/>
        <v>0</v>
      </c>
      <c r="U351" s="62">
        <f>'Расчет субсидий'!Z351-1</f>
        <v>0</v>
      </c>
      <c r="V351" s="62">
        <f>U351*'Расчет субсидий'!AA351</f>
        <v>0</v>
      </c>
      <c r="W351" s="63">
        <f t="shared" si="131"/>
        <v>0</v>
      </c>
      <c r="X351" s="62">
        <f t="shared" si="116"/>
        <v>-5.2712622166770657</v>
      </c>
    </row>
    <row r="352" spans="1:24" ht="15" customHeight="1">
      <c r="A352" s="35" t="s">
        <v>345</v>
      </c>
      <c r="B352" s="64"/>
      <c r="C352" s="65"/>
      <c r="D352" s="65"/>
      <c r="E352" s="66"/>
      <c r="F352" s="65"/>
      <c r="G352" s="65"/>
      <c r="H352" s="66"/>
      <c r="I352" s="66"/>
      <c r="J352" s="66"/>
      <c r="K352" s="66"/>
      <c r="L352" s="65"/>
      <c r="M352" s="65"/>
      <c r="N352" s="66"/>
      <c r="O352" s="65"/>
      <c r="P352" s="65"/>
      <c r="Q352" s="66"/>
      <c r="R352" s="65"/>
      <c r="S352" s="65"/>
      <c r="T352" s="66"/>
      <c r="U352" s="65"/>
      <c r="V352" s="65"/>
      <c r="W352" s="66"/>
      <c r="X352" s="66"/>
    </row>
    <row r="353" spans="1:24" ht="15" customHeight="1">
      <c r="A353" s="36" t="s">
        <v>346</v>
      </c>
      <c r="B353" s="60">
        <f>'Расчет субсидий'!AG353</f>
        <v>11.25454545454545</v>
      </c>
      <c r="C353" s="62">
        <f>'Расчет субсидий'!D353-1</f>
        <v>2.857142857142847E-2</v>
      </c>
      <c r="D353" s="62">
        <f>C353*'Расчет субсидий'!E353</f>
        <v>0.2857142857142847</v>
      </c>
      <c r="E353" s="63">
        <f t="shared" ref="E353:E363" si="132">$B353*D353/$X353</f>
        <v>0.17356855620656791</v>
      </c>
      <c r="F353" s="30" t="s">
        <v>376</v>
      </c>
      <c r="G353" s="30" t="s">
        <v>376</v>
      </c>
      <c r="H353" s="30" t="s">
        <v>376</v>
      </c>
      <c r="I353" s="30" t="s">
        <v>376</v>
      </c>
      <c r="J353" s="30" t="s">
        <v>376</v>
      </c>
      <c r="K353" s="30" t="s">
        <v>376</v>
      </c>
      <c r="L353" s="62">
        <f>'Расчет субсидий'!P353-1</f>
        <v>6.9529652351738136E-2</v>
      </c>
      <c r="M353" s="62">
        <f>L353*'Расчет субсидий'!Q353</f>
        <v>1.3905930470347627</v>
      </c>
      <c r="N353" s="63">
        <f t="shared" ref="N353:N363" si="133">$B353*M353/$X353</f>
        <v>0.84477129605650803</v>
      </c>
      <c r="O353" s="62">
        <f>'Расчет субсидий'!R353-1</f>
        <v>0</v>
      </c>
      <c r="P353" s="62">
        <f>O353*'Расчет субсидий'!S353</f>
        <v>0</v>
      </c>
      <c r="Q353" s="63">
        <f t="shared" ref="Q353:Q363" si="134">$B353*P353/$X353</f>
        <v>0</v>
      </c>
      <c r="R353" s="62">
        <f>'Расчет субсидий'!V353-1</f>
        <v>0.18999999999999995</v>
      </c>
      <c r="S353" s="62">
        <f>R353*'Расчет субсидий'!W353</f>
        <v>2.8499999999999992</v>
      </c>
      <c r="T353" s="63">
        <f t="shared" ref="T353:T363" si="135">$B353*S353/$X353</f>
        <v>1.7313463481605205</v>
      </c>
      <c r="U353" s="62">
        <f>'Расчет субсидий'!Z353-1</f>
        <v>0.39999999999999991</v>
      </c>
      <c r="V353" s="62">
        <f>U353*'Расчет субсидий'!AA353</f>
        <v>13.999999999999996</v>
      </c>
      <c r="W353" s="63">
        <f t="shared" ref="W353:W363" si="136">$B353*V353/$X353</f>
        <v>8.5048592541218557</v>
      </c>
      <c r="X353" s="62">
        <f t="shared" si="116"/>
        <v>18.526307332749042</v>
      </c>
    </row>
    <row r="354" spans="1:24" ht="15" customHeight="1">
      <c r="A354" s="36" t="s">
        <v>54</v>
      </c>
      <c r="B354" s="60">
        <f>'Расчет субсидий'!AG354</f>
        <v>0.3454545454545439</v>
      </c>
      <c r="C354" s="62">
        <f>'Расчет субсидий'!D354-1</f>
        <v>-1</v>
      </c>
      <c r="D354" s="62">
        <f>C354*'Расчет субсидий'!E354</f>
        <v>0</v>
      </c>
      <c r="E354" s="63">
        <f t="shared" si="132"/>
        <v>0</v>
      </c>
      <c r="F354" s="30" t="s">
        <v>376</v>
      </c>
      <c r="G354" s="30" t="s">
        <v>376</v>
      </c>
      <c r="H354" s="30" t="s">
        <v>376</v>
      </c>
      <c r="I354" s="30" t="s">
        <v>376</v>
      </c>
      <c r="J354" s="30" t="s">
        <v>376</v>
      </c>
      <c r="K354" s="30" t="s">
        <v>376</v>
      </c>
      <c r="L354" s="62">
        <f>'Расчет субсидий'!P354-1</f>
        <v>-0.7099660598580686</v>
      </c>
      <c r="M354" s="62">
        <f>L354*'Расчет субсидий'!Q354</f>
        <v>-14.199321197161371</v>
      </c>
      <c r="N354" s="63">
        <f t="shared" si="133"/>
        <v>-6.1263268523384085</v>
      </c>
      <c r="O354" s="62">
        <f>'Расчет субсидий'!R354-1</f>
        <v>0</v>
      </c>
      <c r="P354" s="62">
        <f>O354*'Расчет субсидий'!S354</f>
        <v>0</v>
      </c>
      <c r="Q354" s="63">
        <f t="shared" si="134"/>
        <v>0</v>
      </c>
      <c r="R354" s="62">
        <f>'Расчет субсидий'!V354-1</f>
        <v>0.19999999999999996</v>
      </c>
      <c r="S354" s="62">
        <f>R354*'Расчет субсидий'!W354</f>
        <v>5.9999999999999982</v>
      </c>
      <c r="T354" s="63">
        <f t="shared" si="135"/>
        <v>2.5887125591171807</v>
      </c>
      <c r="U354" s="62">
        <f>'Расчет субсидий'!Z354-1</f>
        <v>0.44999999999999996</v>
      </c>
      <c r="V354" s="62">
        <f>U354*'Расчет субсидий'!AA354</f>
        <v>9</v>
      </c>
      <c r="W354" s="63">
        <f t="shared" si="136"/>
        <v>3.8830688386757717</v>
      </c>
      <c r="X354" s="62">
        <f t="shared" si="116"/>
        <v>0.80067880283862713</v>
      </c>
    </row>
    <row r="355" spans="1:24" ht="15" customHeight="1">
      <c r="A355" s="36" t="s">
        <v>347</v>
      </c>
      <c r="B355" s="60">
        <f>'Расчет субсидий'!AG355</f>
        <v>12.009090909090901</v>
      </c>
      <c r="C355" s="62">
        <f>'Расчет субсидий'!D355-1</f>
        <v>0.13249999999999984</v>
      </c>
      <c r="D355" s="62">
        <f>C355*'Расчет субсидий'!E355</f>
        <v>1.3249999999999984</v>
      </c>
      <c r="E355" s="63">
        <f t="shared" si="132"/>
        <v>2.6282977008680257</v>
      </c>
      <c r="F355" s="30" t="s">
        <v>376</v>
      </c>
      <c r="G355" s="30" t="s">
        <v>376</v>
      </c>
      <c r="H355" s="30" t="s">
        <v>376</v>
      </c>
      <c r="I355" s="30" t="s">
        <v>376</v>
      </c>
      <c r="J355" s="30" t="s">
        <v>376</v>
      </c>
      <c r="K355" s="30" t="s">
        <v>376</v>
      </c>
      <c r="L355" s="62">
        <f>'Расчет субсидий'!P355-1</f>
        <v>-0.39687703318152234</v>
      </c>
      <c r="M355" s="62">
        <f>L355*'Расчет субсидий'!Q355</f>
        <v>-7.9375406636304469</v>
      </c>
      <c r="N355" s="63">
        <f t="shared" si="133"/>
        <v>-15.745071605106709</v>
      </c>
      <c r="O355" s="62">
        <f>'Расчет субсидий'!R355-1</f>
        <v>0</v>
      </c>
      <c r="P355" s="62">
        <f>O355*'Расчет субсидий'!S355</f>
        <v>0</v>
      </c>
      <c r="Q355" s="63">
        <f t="shared" si="134"/>
        <v>0</v>
      </c>
      <c r="R355" s="62">
        <f>'Расчет субсидий'!V355-1</f>
        <v>0.19999999999999996</v>
      </c>
      <c r="S355" s="62">
        <f>R355*'Расчет субсидий'!W355</f>
        <v>5.9999999999999982</v>
      </c>
      <c r="T355" s="63">
        <f t="shared" si="135"/>
        <v>11.901725437892955</v>
      </c>
      <c r="U355" s="62">
        <f>'Расчет субсидий'!Z355-1</f>
        <v>0.33333333333333348</v>
      </c>
      <c r="V355" s="62">
        <f>U355*'Расчет субсидий'!AA355</f>
        <v>6.6666666666666696</v>
      </c>
      <c r="W355" s="63">
        <f t="shared" si="136"/>
        <v>13.22413937543663</v>
      </c>
      <c r="X355" s="62">
        <f t="shared" si="116"/>
        <v>6.0541260030362194</v>
      </c>
    </row>
    <row r="356" spans="1:24" ht="15" customHeight="1">
      <c r="A356" s="36" t="s">
        <v>348</v>
      </c>
      <c r="B356" s="60">
        <f>'Расчет субсидий'!AG356</f>
        <v>1.336363636363636</v>
      </c>
      <c r="C356" s="62">
        <f>'Расчет субсидий'!D356-1</f>
        <v>0.39935258964143427</v>
      </c>
      <c r="D356" s="62">
        <f>C356*'Расчет субсидий'!E356</f>
        <v>3.9935258964143427</v>
      </c>
      <c r="E356" s="63">
        <f t="shared" si="132"/>
        <v>2.6240448924744224</v>
      </c>
      <c r="F356" s="30" t="s">
        <v>376</v>
      </c>
      <c r="G356" s="30" t="s">
        <v>376</v>
      </c>
      <c r="H356" s="30" t="s">
        <v>376</v>
      </c>
      <c r="I356" s="30" t="s">
        <v>376</v>
      </c>
      <c r="J356" s="30" t="s">
        <v>376</v>
      </c>
      <c r="K356" s="30" t="s">
        <v>376</v>
      </c>
      <c r="L356" s="62">
        <f>'Расчет субсидий'!P356-1</f>
        <v>-0.18791946308724827</v>
      </c>
      <c r="M356" s="62">
        <f>L356*'Расчет субсидий'!Q356</f>
        <v>-3.7583892617449655</v>
      </c>
      <c r="N356" s="63">
        <f t="shared" si="133"/>
        <v>-2.4695425551309245</v>
      </c>
      <c r="O356" s="62">
        <f>'Расчет субсидий'!R356-1</f>
        <v>0</v>
      </c>
      <c r="P356" s="62">
        <f>O356*'Расчет субсидий'!S356</f>
        <v>0</v>
      </c>
      <c r="Q356" s="63">
        <f t="shared" si="134"/>
        <v>0</v>
      </c>
      <c r="R356" s="62">
        <f>'Расчет субсидий'!V356-1</f>
        <v>2.1860465116279038E-2</v>
      </c>
      <c r="S356" s="62">
        <f>R356*'Расчет субсидий'!W356</f>
        <v>0.65581395348837113</v>
      </c>
      <c r="T356" s="63">
        <f t="shared" si="135"/>
        <v>0.43091876694971371</v>
      </c>
      <c r="U356" s="62">
        <f>'Расчет субсидий'!Z356-1</f>
        <v>5.7142857142857162E-2</v>
      </c>
      <c r="V356" s="62">
        <f>U356*'Расчет субсидий'!AA356</f>
        <v>1.1428571428571432</v>
      </c>
      <c r="W356" s="63">
        <f t="shared" si="136"/>
        <v>0.75094253207042438</v>
      </c>
      <c r="X356" s="62">
        <f t="shared" si="116"/>
        <v>2.0338077310148917</v>
      </c>
    </row>
    <row r="357" spans="1:24" ht="15" customHeight="1">
      <c r="A357" s="36" t="s">
        <v>349</v>
      </c>
      <c r="B357" s="60">
        <f>'Расчет субсидий'!AG357</f>
        <v>-3.5272727272727238</v>
      </c>
      <c r="C357" s="62">
        <f>'Расчет субсидий'!D357-1</f>
        <v>-4.8775618844822954E-2</v>
      </c>
      <c r="D357" s="62">
        <f>C357*'Расчет субсидий'!E357</f>
        <v>-0.48775618844822954</v>
      </c>
      <c r="E357" s="63">
        <f t="shared" si="132"/>
        <v>-0.22165462617276463</v>
      </c>
      <c r="F357" s="30" t="s">
        <v>376</v>
      </c>
      <c r="G357" s="30" t="s">
        <v>376</v>
      </c>
      <c r="H357" s="30" t="s">
        <v>376</v>
      </c>
      <c r="I357" s="30" t="s">
        <v>376</v>
      </c>
      <c r="J357" s="30" t="s">
        <v>376</v>
      </c>
      <c r="K357" s="30" t="s">
        <v>376</v>
      </c>
      <c r="L357" s="62">
        <f>'Расчет субсидий'!P357-1</f>
        <v>-0.61370449678800854</v>
      </c>
      <c r="M357" s="62">
        <f>L357*'Расчет субсидий'!Q357</f>
        <v>-12.27408993576017</v>
      </c>
      <c r="N357" s="63">
        <f t="shared" si="133"/>
        <v>-5.577804814690893</v>
      </c>
      <c r="O357" s="62">
        <f>'Расчет субсидий'!R357-1</f>
        <v>0</v>
      </c>
      <c r="P357" s="62">
        <f>O357*'Расчет субсидий'!S357</f>
        <v>0</v>
      </c>
      <c r="Q357" s="63">
        <f t="shared" si="134"/>
        <v>0</v>
      </c>
      <c r="R357" s="62">
        <f>'Расчет субсидий'!V357-1</f>
        <v>0</v>
      </c>
      <c r="S357" s="62">
        <f>R357*'Расчет субсидий'!W357</f>
        <v>0</v>
      </c>
      <c r="T357" s="63">
        <f t="shared" si="135"/>
        <v>0</v>
      </c>
      <c r="U357" s="62">
        <f>'Расчет субсидий'!Z357-1</f>
        <v>0.19999999999999996</v>
      </c>
      <c r="V357" s="62">
        <f>U357*'Расчет субсидий'!AA357</f>
        <v>4.9999999999999991</v>
      </c>
      <c r="W357" s="63">
        <f t="shared" si="136"/>
        <v>2.2721867135909339</v>
      </c>
      <c r="X357" s="62">
        <f t="shared" si="116"/>
        <v>-7.7618461242084011</v>
      </c>
    </row>
    <row r="358" spans="1:24" ht="15" customHeight="1">
      <c r="A358" s="36" t="s">
        <v>350</v>
      </c>
      <c r="B358" s="60">
        <f>'Расчет субсидий'!AG358</f>
        <v>-0.54545454545454541</v>
      </c>
      <c r="C358" s="62">
        <f>'Расчет субсидий'!D358-1</f>
        <v>-1</v>
      </c>
      <c r="D358" s="62">
        <f>C358*'Расчет субсидий'!E358</f>
        <v>0</v>
      </c>
      <c r="E358" s="63">
        <f t="shared" si="132"/>
        <v>0</v>
      </c>
      <c r="F358" s="30" t="s">
        <v>376</v>
      </c>
      <c r="G358" s="30" t="s">
        <v>376</v>
      </c>
      <c r="H358" s="30" t="s">
        <v>376</v>
      </c>
      <c r="I358" s="30" t="s">
        <v>376</v>
      </c>
      <c r="J358" s="30" t="s">
        <v>376</v>
      </c>
      <c r="K358" s="30" t="s">
        <v>376</v>
      </c>
      <c r="L358" s="62">
        <f>'Расчет субсидий'!P358-1</f>
        <v>-0.89350649350649347</v>
      </c>
      <c r="M358" s="62">
        <f>L358*'Расчет субсидий'!Q358</f>
        <v>-17.870129870129869</v>
      </c>
      <c r="N358" s="63">
        <f t="shared" si="133"/>
        <v>-0.54545454545454541</v>
      </c>
      <c r="O358" s="62">
        <f>'Расчет субсидий'!R358-1</f>
        <v>0</v>
      </c>
      <c r="P358" s="62">
        <f>O358*'Расчет субсидий'!S358</f>
        <v>0</v>
      </c>
      <c r="Q358" s="63">
        <f t="shared" si="134"/>
        <v>0</v>
      </c>
      <c r="R358" s="62">
        <f>'Расчет субсидий'!V358-1</f>
        <v>0</v>
      </c>
      <c r="S358" s="62">
        <f>R358*'Расчет субсидий'!W358</f>
        <v>0</v>
      </c>
      <c r="T358" s="63">
        <f t="shared" si="135"/>
        <v>0</v>
      </c>
      <c r="U358" s="62">
        <f>'Расчет субсидий'!Z358-1</f>
        <v>0</v>
      </c>
      <c r="V358" s="62">
        <f>U358*'Расчет субсидий'!AA358</f>
        <v>0</v>
      </c>
      <c r="W358" s="63">
        <f t="shared" si="136"/>
        <v>0</v>
      </c>
      <c r="X358" s="62">
        <f t="shared" si="116"/>
        <v>-17.870129870129869</v>
      </c>
    </row>
    <row r="359" spans="1:24" ht="15" customHeight="1">
      <c r="A359" s="36" t="s">
        <v>351</v>
      </c>
      <c r="B359" s="60">
        <f>'Расчет субсидий'!AG359</f>
        <v>-1.2181818181818187</v>
      </c>
      <c r="C359" s="62">
        <f>'Расчет субсидий'!D359-1</f>
        <v>0.72972972972972983</v>
      </c>
      <c r="D359" s="62">
        <f>C359*'Расчет субсидий'!E359</f>
        <v>7.2972972972972983</v>
      </c>
      <c r="E359" s="63">
        <f t="shared" si="132"/>
        <v>0.82480960800736003</v>
      </c>
      <c r="F359" s="30" t="s">
        <v>376</v>
      </c>
      <c r="G359" s="30" t="s">
        <v>376</v>
      </c>
      <c r="H359" s="30" t="s">
        <v>376</v>
      </c>
      <c r="I359" s="30" t="s">
        <v>376</v>
      </c>
      <c r="J359" s="30" t="s">
        <v>376</v>
      </c>
      <c r="K359" s="30" t="s">
        <v>376</v>
      </c>
      <c r="L359" s="62">
        <f>'Расчет субсидий'!P359-1</f>
        <v>-0.17367292573581961</v>
      </c>
      <c r="M359" s="62">
        <f>L359*'Расчет субсидий'!Q359</f>
        <v>-3.4734585147163921</v>
      </c>
      <c r="N359" s="63">
        <f t="shared" si="133"/>
        <v>-0.39260315692689995</v>
      </c>
      <c r="O359" s="62">
        <f>'Расчет субсидий'!R359-1</f>
        <v>0</v>
      </c>
      <c r="P359" s="62">
        <f>O359*'Расчет субсидий'!S359</f>
        <v>0</v>
      </c>
      <c r="Q359" s="63">
        <f t="shared" si="134"/>
        <v>0</v>
      </c>
      <c r="R359" s="62">
        <f>'Расчет субсидий'!V359-1</f>
        <v>1.3286713286713381E-2</v>
      </c>
      <c r="S359" s="62">
        <f>R359*'Расчет субсидий'!W359</f>
        <v>0.39860139860140142</v>
      </c>
      <c r="T359" s="63">
        <f t="shared" si="135"/>
        <v>4.5053702752849888E-2</v>
      </c>
      <c r="U359" s="62">
        <f>'Расчет субсидий'!Z359-1</f>
        <v>-0.75</v>
      </c>
      <c r="V359" s="62">
        <f>U359*'Расчет субсидий'!AA359</f>
        <v>-15</v>
      </c>
      <c r="W359" s="63">
        <f t="shared" si="136"/>
        <v>-1.6954419720151286</v>
      </c>
      <c r="X359" s="62">
        <f t="shared" si="116"/>
        <v>-10.777559818817693</v>
      </c>
    </row>
    <row r="360" spans="1:24" ht="15" customHeight="1">
      <c r="A360" s="36" t="s">
        <v>352</v>
      </c>
      <c r="B360" s="60">
        <f>'Расчет субсидий'!AG360</f>
        <v>-4.2545454545454504</v>
      </c>
      <c r="C360" s="62">
        <f>'Расчет субсидий'!D360-1</f>
        <v>-0.125</v>
      </c>
      <c r="D360" s="62">
        <f>C360*'Расчет субсидий'!E360</f>
        <v>-1.25</v>
      </c>
      <c r="E360" s="63">
        <f t="shared" si="132"/>
        <v>-1.3240160823040625</v>
      </c>
      <c r="F360" s="30" t="s">
        <v>376</v>
      </c>
      <c r="G360" s="30" t="s">
        <v>376</v>
      </c>
      <c r="H360" s="30" t="s">
        <v>376</v>
      </c>
      <c r="I360" s="30" t="s">
        <v>376</v>
      </c>
      <c r="J360" s="30" t="s">
        <v>376</v>
      </c>
      <c r="K360" s="30" t="s">
        <v>376</v>
      </c>
      <c r="L360" s="62">
        <f>'Расчет субсидий'!P360-1</f>
        <v>-0.43833524245895383</v>
      </c>
      <c r="M360" s="62">
        <f>L360*'Расчет субсидий'!Q360</f>
        <v>-8.7667048491790762</v>
      </c>
      <c r="N360" s="63">
        <f t="shared" si="133"/>
        <v>-9.2858065673008863</v>
      </c>
      <c r="O360" s="62">
        <f>'Расчет субсидий'!R360-1</f>
        <v>0</v>
      </c>
      <c r="P360" s="62">
        <f>O360*'Расчет субсидий'!S360</f>
        <v>0</v>
      </c>
      <c r="Q360" s="63">
        <f t="shared" si="134"/>
        <v>0</v>
      </c>
      <c r="R360" s="62">
        <f>'Расчет субсидий'!V360-1</f>
        <v>0</v>
      </c>
      <c r="S360" s="62">
        <f>R360*'Расчет субсидий'!W360</f>
        <v>0</v>
      </c>
      <c r="T360" s="63">
        <f t="shared" si="135"/>
        <v>0</v>
      </c>
      <c r="U360" s="62">
        <f>'Расчет субсидий'!Z360-1</f>
        <v>0.19999999999999996</v>
      </c>
      <c r="V360" s="62">
        <f>U360*'Расчет субсидий'!AA360</f>
        <v>5.9999999999999982</v>
      </c>
      <c r="W360" s="63">
        <f t="shared" si="136"/>
        <v>6.3552771950594984</v>
      </c>
      <c r="X360" s="62">
        <f t="shared" si="116"/>
        <v>-4.016704849179078</v>
      </c>
    </row>
    <row r="361" spans="1:24" ht="15" customHeight="1">
      <c r="A361" s="36" t="s">
        <v>353</v>
      </c>
      <c r="B361" s="60">
        <f>'Расчет субсидий'!AG361</f>
        <v>-15.045454545454547</v>
      </c>
      <c r="C361" s="62">
        <f>'Расчет субсидий'!D361-1</f>
        <v>-0.22222222222222221</v>
      </c>
      <c r="D361" s="62">
        <f>C361*'Расчет субсидий'!E361</f>
        <v>-2.2222222222222223</v>
      </c>
      <c r="E361" s="63">
        <f t="shared" si="132"/>
        <v>-1.7867461165659151</v>
      </c>
      <c r="F361" s="30" t="s">
        <v>376</v>
      </c>
      <c r="G361" s="30" t="s">
        <v>376</v>
      </c>
      <c r="H361" s="30" t="s">
        <v>376</v>
      </c>
      <c r="I361" s="30" t="s">
        <v>376</v>
      </c>
      <c r="J361" s="30" t="s">
        <v>376</v>
      </c>
      <c r="K361" s="30" t="s">
        <v>376</v>
      </c>
      <c r="L361" s="62">
        <f>'Расчет субсидий'!P361-1</f>
        <v>-0.91200987959246682</v>
      </c>
      <c r="M361" s="62">
        <f>L361*'Расчет субсидий'!Q361</f>
        <v>-18.240197591849338</v>
      </c>
      <c r="N361" s="63">
        <f t="shared" si="133"/>
        <v>-14.665770995684289</v>
      </c>
      <c r="O361" s="62">
        <f>'Расчет субсидий'!R361-1</f>
        <v>0</v>
      </c>
      <c r="P361" s="62">
        <f>O361*'Расчет субсидий'!S361</f>
        <v>0</v>
      </c>
      <c r="Q361" s="63">
        <f t="shared" si="134"/>
        <v>0</v>
      </c>
      <c r="R361" s="62">
        <f>'Расчет субсидий'!V361-1</f>
        <v>0</v>
      </c>
      <c r="S361" s="62">
        <f>R361*'Расчет субсидий'!W361</f>
        <v>0</v>
      </c>
      <c r="T361" s="63">
        <f t="shared" si="135"/>
        <v>0</v>
      </c>
      <c r="U361" s="62">
        <f>'Расчет субсидий'!Z361-1</f>
        <v>5.0000000000000044E-2</v>
      </c>
      <c r="V361" s="62">
        <f>U361*'Расчет субсидий'!AA361</f>
        <v>1.7500000000000016</v>
      </c>
      <c r="W361" s="63">
        <f t="shared" si="136"/>
        <v>1.4070625667956593</v>
      </c>
      <c r="X361" s="62">
        <f t="shared" si="116"/>
        <v>-18.712419814071559</v>
      </c>
    </row>
    <row r="362" spans="1:24" ht="15" customHeight="1">
      <c r="A362" s="36" t="s">
        <v>354</v>
      </c>
      <c r="B362" s="60">
        <f>'Расчет субсидий'!AG362</f>
        <v>15.554545454545448</v>
      </c>
      <c r="C362" s="62">
        <f>'Расчет субсидий'!D362-1</f>
        <v>-1</v>
      </c>
      <c r="D362" s="62">
        <f>C362*'Расчет субсидий'!E362</f>
        <v>0</v>
      </c>
      <c r="E362" s="63">
        <f t="shared" si="132"/>
        <v>0</v>
      </c>
      <c r="F362" s="30" t="s">
        <v>376</v>
      </c>
      <c r="G362" s="30" t="s">
        <v>376</v>
      </c>
      <c r="H362" s="30" t="s">
        <v>376</v>
      </c>
      <c r="I362" s="30" t="s">
        <v>376</v>
      </c>
      <c r="J362" s="30" t="s">
        <v>376</v>
      </c>
      <c r="K362" s="30" t="s">
        <v>376</v>
      </c>
      <c r="L362" s="62">
        <f>'Расчет субсидий'!P362-1</f>
        <v>-0.43612334801762109</v>
      </c>
      <c r="M362" s="62">
        <f>L362*'Расчет субсидий'!Q362</f>
        <v>-8.7224669603524223</v>
      </c>
      <c r="N362" s="63">
        <f t="shared" si="133"/>
        <v>-11.581188747091584</v>
      </c>
      <c r="O362" s="62">
        <f>'Расчет субсидий'!R362-1</f>
        <v>0</v>
      </c>
      <c r="P362" s="62">
        <f>O362*'Расчет субсидий'!S362</f>
        <v>0</v>
      </c>
      <c r="Q362" s="63">
        <f t="shared" si="134"/>
        <v>0</v>
      </c>
      <c r="R362" s="62">
        <f>'Расчет субсидий'!V362-1</f>
        <v>0.24374999999999991</v>
      </c>
      <c r="S362" s="62">
        <f>R362*'Расчет субсидий'!W362</f>
        <v>2.4374999999999991</v>
      </c>
      <c r="T362" s="63">
        <f t="shared" si="135"/>
        <v>3.236371969002581</v>
      </c>
      <c r="U362" s="62">
        <f>'Расчет субсидий'!Z362-1</f>
        <v>0.44999999999999996</v>
      </c>
      <c r="V362" s="62">
        <f>U362*'Расчет субсидий'!AA362</f>
        <v>18</v>
      </c>
      <c r="W362" s="63">
        <f t="shared" si="136"/>
        <v>23.899362232634456</v>
      </c>
      <c r="X362" s="62">
        <f t="shared" si="116"/>
        <v>11.715033039647576</v>
      </c>
    </row>
    <row r="363" spans="1:24" ht="15" customHeight="1">
      <c r="A363" s="36" t="s">
        <v>355</v>
      </c>
      <c r="B363" s="60">
        <f>'Расчет субсидий'!AG363</f>
        <v>65.590909090909065</v>
      </c>
      <c r="C363" s="62">
        <f>'Расчет субсидий'!D363-1</f>
        <v>-0.34294247500324637</v>
      </c>
      <c r="D363" s="62">
        <f>C363*'Расчет субсидий'!E363</f>
        <v>-3.4294247500324637</v>
      </c>
      <c r="E363" s="63">
        <f t="shared" si="132"/>
        <v>-8.7850461142574403</v>
      </c>
      <c r="F363" s="30" t="s">
        <v>376</v>
      </c>
      <c r="G363" s="30" t="s">
        <v>376</v>
      </c>
      <c r="H363" s="30" t="s">
        <v>376</v>
      </c>
      <c r="I363" s="30" t="s">
        <v>376</v>
      </c>
      <c r="J363" s="30" t="s">
        <v>376</v>
      </c>
      <c r="K363" s="30" t="s">
        <v>376</v>
      </c>
      <c r="L363" s="62">
        <f>'Расчет субсидий'!P363-1</f>
        <v>0.38920974785181017</v>
      </c>
      <c r="M363" s="62">
        <f>L363*'Расчет субсидий'!Q363</f>
        <v>7.7841949570362035</v>
      </c>
      <c r="N363" s="63">
        <f t="shared" si="133"/>
        <v>19.940519662746912</v>
      </c>
      <c r="O363" s="62">
        <f>'Расчет субсидий'!R363-1</f>
        <v>0</v>
      </c>
      <c r="P363" s="62">
        <f>O363*'Расчет субсидий'!S363</f>
        <v>0</v>
      </c>
      <c r="Q363" s="63">
        <f t="shared" si="134"/>
        <v>0</v>
      </c>
      <c r="R363" s="62">
        <f>'Расчет субсидий'!V363-1</f>
        <v>0.25</v>
      </c>
      <c r="S363" s="62">
        <f>R363*'Расчет субсидий'!W363</f>
        <v>6.25</v>
      </c>
      <c r="T363" s="63">
        <f t="shared" si="135"/>
        <v>16.010422218358702</v>
      </c>
      <c r="U363" s="62">
        <f>'Расчет субсидий'!Z363-1</f>
        <v>0.60000000000000009</v>
      </c>
      <c r="V363" s="62">
        <f>U363*'Расчет субсидий'!AA363</f>
        <v>15.000000000000002</v>
      </c>
      <c r="W363" s="63">
        <f t="shared" si="136"/>
        <v>38.425013324060899</v>
      </c>
      <c r="X363" s="62">
        <f t="shared" si="116"/>
        <v>25.604770207003739</v>
      </c>
    </row>
    <row r="364" spans="1:24" ht="15" customHeight="1">
      <c r="A364" s="35" t="s">
        <v>356</v>
      </c>
      <c r="B364" s="64"/>
      <c r="C364" s="65"/>
      <c r="D364" s="65"/>
      <c r="E364" s="66"/>
      <c r="F364" s="65"/>
      <c r="G364" s="65"/>
      <c r="H364" s="66"/>
      <c r="I364" s="66"/>
      <c r="J364" s="66"/>
      <c r="K364" s="66"/>
      <c r="L364" s="65"/>
      <c r="M364" s="65"/>
      <c r="N364" s="66"/>
      <c r="O364" s="65"/>
      <c r="P364" s="65"/>
      <c r="Q364" s="66"/>
      <c r="R364" s="65"/>
      <c r="S364" s="65"/>
      <c r="T364" s="66"/>
      <c r="U364" s="65"/>
      <c r="V364" s="65"/>
      <c r="W364" s="66"/>
      <c r="X364" s="66"/>
    </row>
    <row r="365" spans="1:24" ht="15" customHeight="1">
      <c r="A365" s="36" t="s">
        <v>357</v>
      </c>
      <c r="B365" s="60">
        <f>'Расчет субсидий'!AG365</f>
        <v>-11.436363636363637</v>
      </c>
      <c r="C365" s="62">
        <f>'Расчет субсидий'!D365-1</f>
        <v>-0.10999999999999999</v>
      </c>
      <c r="D365" s="62">
        <f>C365*'Расчет субсидий'!E365</f>
        <v>-1.0999999999999999</v>
      </c>
      <c r="E365" s="63">
        <f t="shared" ref="E365:E376" si="137">$B365*D365/$X365</f>
        <v>-1.4164512508598532</v>
      </c>
      <c r="F365" s="30" t="s">
        <v>376</v>
      </c>
      <c r="G365" s="30" t="s">
        <v>376</v>
      </c>
      <c r="H365" s="30" t="s">
        <v>376</v>
      </c>
      <c r="I365" s="30" t="s">
        <v>376</v>
      </c>
      <c r="J365" s="30" t="s">
        <v>376</v>
      </c>
      <c r="K365" s="30" t="s">
        <v>376</v>
      </c>
      <c r="L365" s="62">
        <f>'Расчет субсидий'!P365-1</f>
        <v>-0.38906752411575563</v>
      </c>
      <c r="M365" s="62">
        <f>L365*'Расчет субсидий'!Q365</f>
        <v>-7.7813504823151121</v>
      </c>
      <c r="N365" s="63">
        <f t="shared" ref="N365:N376" si="138">$B365*M365/$X365</f>
        <v>-10.019912385503785</v>
      </c>
      <c r="O365" s="62">
        <f>'Расчет субсидий'!R365-1</f>
        <v>0</v>
      </c>
      <c r="P365" s="62">
        <f>O365*'Расчет субсидий'!S365</f>
        <v>0</v>
      </c>
      <c r="Q365" s="63">
        <f t="shared" ref="Q365:Q376" si="139">$B365*P365/$X365</f>
        <v>0</v>
      </c>
      <c r="R365" s="62">
        <f>'Расчет субсидий'!V365-1</f>
        <v>0</v>
      </c>
      <c r="S365" s="62">
        <f>R365*'Расчет субсидий'!W365</f>
        <v>0</v>
      </c>
      <c r="T365" s="63">
        <f t="shared" ref="T365:T376" si="140">$B365*S365/$X365</f>
        <v>0</v>
      </c>
      <c r="U365" s="62">
        <f>'Расчет субсидий'!Z365-1</f>
        <v>0</v>
      </c>
      <c r="V365" s="62">
        <f>U365*'Расчет субсидий'!AA365</f>
        <v>0</v>
      </c>
      <c r="W365" s="63">
        <f t="shared" ref="W365:W376" si="141">$B365*V365/$X365</f>
        <v>0</v>
      </c>
      <c r="X365" s="62">
        <f t="shared" si="116"/>
        <v>-8.8813504823151117</v>
      </c>
    </row>
    <row r="366" spans="1:24" ht="15" customHeight="1">
      <c r="A366" s="36" t="s">
        <v>358</v>
      </c>
      <c r="B366" s="60">
        <f>'Расчет субсидий'!AG366</f>
        <v>1.5363636363636317</v>
      </c>
      <c r="C366" s="62">
        <f>'Расчет субсидий'!D366-1</f>
        <v>-1</v>
      </c>
      <c r="D366" s="62">
        <f>C366*'Расчет субсидий'!E366</f>
        <v>0</v>
      </c>
      <c r="E366" s="63">
        <f t="shared" si="137"/>
        <v>0</v>
      </c>
      <c r="F366" s="30" t="s">
        <v>376</v>
      </c>
      <c r="G366" s="30" t="s">
        <v>376</v>
      </c>
      <c r="H366" s="30" t="s">
        <v>376</v>
      </c>
      <c r="I366" s="30" t="s">
        <v>376</v>
      </c>
      <c r="J366" s="30" t="s">
        <v>376</v>
      </c>
      <c r="K366" s="30" t="s">
        <v>376</v>
      </c>
      <c r="L366" s="62">
        <f>'Расчет субсидий'!P366-1</f>
        <v>-8.2751744765702906E-2</v>
      </c>
      <c r="M366" s="62">
        <f>L366*'Расчет субсидий'!Q366</f>
        <v>-1.6550348953140581</v>
      </c>
      <c r="N366" s="63">
        <f t="shared" si="138"/>
        <v>-3.0092786269777267</v>
      </c>
      <c r="O366" s="62">
        <f>'Расчет субсидий'!R366-1</f>
        <v>0</v>
      </c>
      <c r="P366" s="62">
        <f>O366*'Расчет субсидий'!S366</f>
        <v>0</v>
      </c>
      <c r="Q366" s="63">
        <f t="shared" si="139"/>
        <v>0</v>
      </c>
      <c r="R366" s="62">
        <f>'Расчет субсидий'!V366-1</f>
        <v>0.10000000000000009</v>
      </c>
      <c r="S366" s="62">
        <f>R366*'Расчет субсидий'!W366</f>
        <v>2.5000000000000022</v>
      </c>
      <c r="T366" s="63">
        <f t="shared" si="140"/>
        <v>4.5456422633413585</v>
      </c>
      <c r="U366" s="62">
        <f>'Расчет субсидий'!Z366-1</f>
        <v>0</v>
      </c>
      <c r="V366" s="62">
        <f>U366*'Расчет субсидий'!AA366</f>
        <v>0</v>
      </c>
      <c r="W366" s="63">
        <f t="shared" si="141"/>
        <v>0</v>
      </c>
      <c r="X366" s="62">
        <f t="shared" si="116"/>
        <v>0.8449651046859441</v>
      </c>
    </row>
    <row r="367" spans="1:24" ht="15" customHeight="1">
      <c r="A367" s="36" t="s">
        <v>359</v>
      </c>
      <c r="B367" s="60">
        <f>'Расчет субсидий'!AG367</f>
        <v>-0.19999999999999996</v>
      </c>
      <c r="C367" s="62">
        <f>'Расчет субсидий'!D367-1</f>
        <v>-2.1691176470588269E-2</v>
      </c>
      <c r="D367" s="62">
        <f>C367*'Расчет субсидий'!E367</f>
        <v>-0.21691176470588269</v>
      </c>
      <c r="E367" s="63">
        <f t="shared" si="137"/>
        <v>-4.4091348198959509E-3</v>
      </c>
      <c r="F367" s="30" t="s">
        <v>376</v>
      </c>
      <c r="G367" s="30" t="s">
        <v>376</v>
      </c>
      <c r="H367" s="30" t="s">
        <v>376</v>
      </c>
      <c r="I367" s="30" t="s">
        <v>376</v>
      </c>
      <c r="J367" s="30" t="s">
        <v>376</v>
      </c>
      <c r="K367" s="30" t="s">
        <v>376</v>
      </c>
      <c r="L367" s="62">
        <f>'Расчет субсидий'!P367-1</f>
        <v>-0.48111433942915738</v>
      </c>
      <c r="M367" s="62">
        <f>L367*'Расчет субсидий'!Q367</f>
        <v>-9.622286788583148</v>
      </c>
      <c r="N367" s="63">
        <f t="shared" si="138"/>
        <v>-0.19559086518010399</v>
      </c>
      <c r="O367" s="62">
        <f>'Расчет субсидий'!R367-1</f>
        <v>0</v>
      </c>
      <c r="P367" s="62">
        <f>O367*'Расчет субсидий'!S367</f>
        <v>0</v>
      </c>
      <c r="Q367" s="63">
        <f t="shared" si="139"/>
        <v>0</v>
      </c>
      <c r="R367" s="62">
        <f>'Расчет субсидий'!V367-1</f>
        <v>0</v>
      </c>
      <c r="S367" s="62">
        <f>R367*'Расчет субсидий'!W367</f>
        <v>0</v>
      </c>
      <c r="T367" s="63">
        <f t="shared" si="140"/>
        <v>0</v>
      </c>
      <c r="U367" s="62">
        <f>'Расчет субсидий'!Z367-1</f>
        <v>0</v>
      </c>
      <c r="V367" s="62">
        <f>U367*'Расчет субсидий'!AA367</f>
        <v>0</v>
      </c>
      <c r="W367" s="63">
        <f t="shared" si="141"/>
        <v>0</v>
      </c>
      <c r="X367" s="62">
        <f t="shared" si="116"/>
        <v>-9.8391985532890303</v>
      </c>
    </row>
    <row r="368" spans="1:24" ht="15" customHeight="1">
      <c r="A368" s="36" t="s">
        <v>360</v>
      </c>
      <c r="B368" s="60">
        <f>'Расчет субсидий'!AG368</f>
        <v>-16.563636363636363</v>
      </c>
      <c r="C368" s="62">
        <f>'Расчет субсидий'!D368-1</f>
        <v>-1</v>
      </c>
      <c r="D368" s="62">
        <f>C368*'Расчет субсидий'!E368</f>
        <v>0</v>
      </c>
      <c r="E368" s="63">
        <f t="shared" si="137"/>
        <v>0</v>
      </c>
      <c r="F368" s="30" t="s">
        <v>376</v>
      </c>
      <c r="G368" s="30" t="s">
        <v>376</v>
      </c>
      <c r="H368" s="30" t="s">
        <v>376</v>
      </c>
      <c r="I368" s="30" t="s">
        <v>376</v>
      </c>
      <c r="J368" s="30" t="s">
        <v>376</v>
      </c>
      <c r="K368" s="30" t="s">
        <v>376</v>
      </c>
      <c r="L368" s="62">
        <f>'Расчет субсидий'!P368-1</f>
        <v>-0.43163097199341027</v>
      </c>
      <c r="M368" s="62">
        <f>L368*'Расчет субсидий'!Q368</f>
        <v>-8.6326194398682059</v>
      </c>
      <c r="N368" s="63">
        <f t="shared" si="138"/>
        <v>-16.563636363636363</v>
      </c>
      <c r="O368" s="62">
        <f>'Расчет субсидий'!R368-1</f>
        <v>0</v>
      </c>
      <c r="P368" s="62">
        <f>O368*'Расчет субсидий'!S368</f>
        <v>0</v>
      </c>
      <c r="Q368" s="63">
        <f t="shared" si="139"/>
        <v>0</v>
      </c>
      <c r="R368" s="62">
        <f>'Расчет субсидий'!V368-1</f>
        <v>0</v>
      </c>
      <c r="S368" s="62">
        <f>R368*'Расчет субсидий'!W368</f>
        <v>0</v>
      </c>
      <c r="T368" s="63">
        <f t="shared" si="140"/>
        <v>0</v>
      </c>
      <c r="U368" s="62">
        <f>'Расчет субсидий'!Z368-1</f>
        <v>0</v>
      </c>
      <c r="V368" s="62">
        <f>U368*'Расчет субсидий'!AA368</f>
        <v>0</v>
      </c>
      <c r="W368" s="63">
        <f t="shared" si="141"/>
        <v>0</v>
      </c>
      <c r="X368" s="62">
        <f t="shared" ref="X368:X376" si="142">D368+M368+P368+S368+V368</f>
        <v>-8.6326194398682059</v>
      </c>
    </row>
    <row r="369" spans="1:24" ht="15" customHeight="1">
      <c r="A369" s="36" t="s">
        <v>361</v>
      </c>
      <c r="B369" s="60">
        <f>'Расчет субсидий'!AG369</f>
        <v>35.13636363636364</v>
      </c>
      <c r="C369" s="62">
        <f>'Расчет субсидий'!D369-1</f>
        <v>1.0030000000000001</v>
      </c>
      <c r="D369" s="62">
        <f>C369*'Расчет субсидий'!E369</f>
        <v>10.030000000000001</v>
      </c>
      <c r="E369" s="63">
        <f t="shared" si="137"/>
        <v>3.7745732304370478</v>
      </c>
      <c r="F369" s="30" t="s">
        <v>376</v>
      </c>
      <c r="G369" s="30" t="s">
        <v>376</v>
      </c>
      <c r="H369" s="30" t="s">
        <v>376</v>
      </c>
      <c r="I369" s="30" t="s">
        <v>376</v>
      </c>
      <c r="J369" s="30" t="s">
        <v>376</v>
      </c>
      <c r="K369" s="30" t="s">
        <v>376</v>
      </c>
      <c r="L369" s="62">
        <f>'Расчет субсидий'!P369-1</f>
        <v>-0.13318777292576434</v>
      </c>
      <c r="M369" s="62">
        <f>L369*'Расчет субсидий'!Q369</f>
        <v>-2.6637554585152867</v>
      </c>
      <c r="N369" s="63">
        <f t="shared" si="138"/>
        <v>-1.0024466646203753</v>
      </c>
      <c r="O369" s="62">
        <f>'Расчет субсидий'!R369-1</f>
        <v>0</v>
      </c>
      <c r="P369" s="62">
        <f>O369*'Расчет субсидий'!S369</f>
        <v>0</v>
      </c>
      <c r="Q369" s="63">
        <f t="shared" si="139"/>
        <v>0</v>
      </c>
      <c r="R369" s="62">
        <f>'Расчет субсидий'!V369-1</f>
        <v>4.5</v>
      </c>
      <c r="S369" s="62">
        <f>R369*'Расчет субсидий'!W369</f>
        <v>90</v>
      </c>
      <c r="T369" s="63">
        <f t="shared" si="140"/>
        <v>33.869550422665426</v>
      </c>
      <c r="U369" s="62">
        <f>'Расчет субсидий'!Z369-1</f>
        <v>-0.1333333333333333</v>
      </c>
      <c r="V369" s="62">
        <f>U369*'Расчет субсидий'!AA369</f>
        <v>-3.9999999999999991</v>
      </c>
      <c r="W369" s="63">
        <f t="shared" si="141"/>
        <v>-1.5053133521184632</v>
      </c>
      <c r="X369" s="62">
        <f t="shared" si="142"/>
        <v>93.366244541484718</v>
      </c>
    </row>
    <row r="370" spans="1:24" ht="15" customHeight="1">
      <c r="A370" s="36" t="s">
        <v>362</v>
      </c>
      <c r="B370" s="60">
        <f>'Расчет субсидий'!AG370</f>
        <v>-31.054545454545462</v>
      </c>
      <c r="C370" s="62">
        <f>'Расчет субсидий'!D370-1</f>
        <v>-0.43230769230769228</v>
      </c>
      <c r="D370" s="62">
        <f>C370*'Расчет субсидий'!E370</f>
        <v>-4.3230769230769228</v>
      </c>
      <c r="E370" s="63">
        <f t="shared" si="137"/>
        <v>-7.8437434736651444</v>
      </c>
      <c r="F370" s="30" t="s">
        <v>376</v>
      </c>
      <c r="G370" s="30" t="s">
        <v>376</v>
      </c>
      <c r="H370" s="30" t="s">
        <v>376</v>
      </c>
      <c r="I370" s="30" t="s">
        <v>376</v>
      </c>
      <c r="J370" s="30" t="s">
        <v>376</v>
      </c>
      <c r="K370" s="30" t="s">
        <v>376</v>
      </c>
      <c r="L370" s="62">
        <f>'Расчет субсидий'!P370-1</f>
        <v>-0.6967741935483871</v>
      </c>
      <c r="M370" s="62">
        <f>L370*'Расчет субсидий'!Q370</f>
        <v>-13.935483870967742</v>
      </c>
      <c r="N370" s="63">
        <f t="shared" si="138"/>
        <v>-25.284389477731292</v>
      </c>
      <c r="O370" s="62">
        <f>'Расчет субсидий'!R370-1</f>
        <v>0</v>
      </c>
      <c r="P370" s="62">
        <f>O370*'Расчет субсидий'!S370</f>
        <v>0</v>
      </c>
      <c r="Q370" s="63">
        <f t="shared" si="139"/>
        <v>0</v>
      </c>
      <c r="R370" s="62">
        <f>'Расчет субсидий'!V370-1</f>
        <v>5.7142857142857162E-2</v>
      </c>
      <c r="S370" s="62">
        <f>R370*'Расчет субсидий'!W370</f>
        <v>1.1428571428571432</v>
      </c>
      <c r="T370" s="63">
        <f t="shared" si="140"/>
        <v>2.0735874968509798</v>
      </c>
      <c r="U370" s="62">
        <f>'Расчет субсидий'!Z370-1</f>
        <v>0</v>
      </c>
      <c r="V370" s="62">
        <f>U370*'Расчет субсидий'!AA370</f>
        <v>0</v>
      </c>
      <c r="W370" s="63">
        <f t="shared" si="141"/>
        <v>0</v>
      </c>
      <c r="X370" s="62">
        <f t="shared" si="142"/>
        <v>-17.115703651187523</v>
      </c>
    </row>
    <row r="371" spans="1:24" ht="15" customHeight="1">
      <c r="A371" s="36" t="s">
        <v>363</v>
      </c>
      <c r="B371" s="60">
        <f>'Расчет субсидий'!AG371</f>
        <v>-7.1545454545454561</v>
      </c>
      <c r="C371" s="62">
        <f>'Расчет субсидий'!D371-1</f>
        <v>-1</v>
      </c>
      <c r="D371" s="62">
        <f>C371*'Расчет субсидий'!E371</f>
        <v>0</v>
      </c>
      <c r="E371" s="63">
        <f t="shared" si="137"/>
        <v>0</v>
      </c>
      <c r="F371" s="30" t="s">
        <v>376</v>
      </c>
      <c r="G371" s="30" t="s">
        <v>376</v>
      </c>
      <c r="H371" s="30" t="s">
        <v>376</v>
      </c>
      <c r="I371" s="30" t="s">
        <v>376</v>
      </c>
      <c r="J371" s="30" t="s">
        <v>376</v>
      </c>
      <c r="K371" s="30" t="s">
        <v>376</v>
      </c>
      <c r="L371" s="62">
        <f>'Расчет субсидий'!P371-1</f>
        <v>-0.24775353016688062</v>
      </c>
      <c r="M371" s="62">
        <f>L371*'Расчет субсидий'!Q371</f>
        <v>-4.955070603337612</v>
      </c>
      <c r="N371" s="63">
        <f t="shared" si="138"/>
        <v>-7.1545454545454552</v>
      </c>
      <c r="O371" s="62">
        <f>'Расчет субсидий'!R371-1</f>
        <v>0</v>
      </c>
      <c r="P371" s="62">
        <f>O371*'Расчет субсидий'!S371</f>
        <v>0</v>
      </c>
      <c r="Q371" s="63">
        <f t="shared" si="139"/>
        <v>0</v>
      </c>
      <c r="R371" s="62">
        <f>'Расчет субсидий'!V371-1</f>
        <v>0</v>
      </c>
      <c r="S371" s="62">
        <f>R371*'Расчет субсидий'!W371</f>
        <v>0</v>
      </c>
      <c r="T371" s="63">
        <f t="shared" si="140"/>
        <v>0</v>
      </c>
      <c r="U371" s="62">
        <f>'Расчет субсидий'!Z371-1</f>
        <v>0</v>
      </c>
      <c r="V371" s="62">
        <f>U371*'Расчет субсидий'!AA371</f>
        <v>0</v>
      </c>
      <c r="W371" s="63">
        <f t="shared" si="141"/>
        <v>0</v>
      </c>
      <c r="X371" s="62">
        <f t="shared" si="142"/>
        <v>-4.955070603337612</v>
      </c>
    </row>
    <row r="372" spans="1:24" ht="15" customHeight="1">
      <c r="A372" s="36" t="s">
        <v>364</v>
      </c>
      <c r="B372" s="60">
        <f>'Расчет субсидий'!AG372</f>
        <v>-14.418181818181807</v>
      </c>
      <c r="C372" s="62">
        <f>'Расчет субсидий'!D372-1</f>
        <v>-1</v>
      </c>
      <c r="D372" s="62">
        <f>C372*'Расчет субсидий'!E372</f>
        <v>0</v>
      </c>
      <c r="E372" s="63">
        <f t="shared" si="137"/>
        <v>0</v>
      </c>
      <c r="F372" s="30" t="s">
        <v>376</v>
      </c>
      <c r="G372" s="30" t="s">
        <v>376</v>
      </c>
      <c r="H372" s="30" t="s">
        <v>376</v>
      </c>
      <c r="I372" s="30" t="s">
        <v>376</v>
      </c>
      <c r="J372" s="30" t="s">
        <v>376</v>
      </c>
      <c r="K372" s="30" t="s">
        <v>376</v>
      </c>
      <c r="L372" s="62">
        <f>'Расчет субсидий'!P372-1</f>
        <v>-0.70731707317073167</v>
      </c>
      <c r="M372" s="62">
        <f>L372*'Расчет субсидий'!Q372</f>
        <v>-14.146341463414632</v>
      </c>
      <c r="N372" s="63">
        <f t="shared" si="138"/>
        <v>-16.128342245989295</v>
      </c>
      <c r="O372" s="62">
        <f>'Расчет субсидий'!R372-1</f>
        <v>0</v>
      </c>
      <c r="P372" s="62">
        <f>O372*'Расчет субсидий'!S372</f>
        <v>0</v>
      </c>
      <c r="Q372" s="63">
        <f t="shared" si="139"/>
        <v>0</v>
      </c>
      <c r="R372" s="62">
        <f>'Расчет субсидий'!V372-1</f>
        <v>6.0000000000000053E-2</v>
      </c>
      <c r="S372" s="62">
        <f>R372*'Расчет субсидий'!W372</f>
        <v>1.5000000000000013</v>
      </c>
      <c r="T372" s="63">
        <f t="shared" si="140"/>
        <v>1.7101604278074871</v>
      </c>
      <c r="U372" s="62">
        <f>'Расчет субсидий'!Z372-1</f>
        <v>0</v>
      </c>
      <c r="V372" s="62">
        <f>U372*'Расчет субсидий'!AA372</f>
        <v>0</v>
      </c>
      <c r="W372" s="63">
        <f t="shared" si="141"/>
        <v>0</v>
      </c>
      <c r="X372" s="62">
        <f t="shared" si="142"/>
        <v>-12.646341463414631</v>
      </c>
    </row>
    <row r="373" spans="1:24" ht="15" customHeight="1">
      <c r="A373" s="36" t="s">
        <v>365</v>
      </c>
      <c r="B373" s="60">
        <f>'Расчет субсидий'!AG373</f>
        <v>-10.154545454545456</v>
      </c>
      <c r="C373" s="62">
        <f>'Расчет субсидий'!D373-1</f>
        <v>-1</v>
      </c>
      <c r="D373" s="62">
        <f>C373*'Расчет субсидий'!E373</f>
        <v>0</v>
      </c>
      <c r="E373" s="63">
        <f t="shared" si="137"/>
        <v>0</v>
      </c>
      <c r="F373" s="30" t="s">
        <v>376</v>
      </c>
      <c r="G373" s="30" t="s">
        <v>376</v>
      </c>
      <c r="H373" s="30" t="s">
        <v>376</v>
      </c>
      <c r="I373" s="30" t="s">
        <v>376</v>
      </c>
      <c r="J373" s="30" t="s">
        <v>376</v>
      </c>
      <c r="K373" s="30" t="s">
        <v>376</v>
      </c>
      <c r="L373" s="62">
        <f>'Расчет субсидий'!P373-1</f>
        <v>-0.21780986762936216</v>
      </c>
      <c r="M373" s="62">
        <f>L373*'Расчет субсидий'!Q373</f>
        <v>-4.3561973525872428</v>
      </c>
      <c r="N373" s="63">
        <f t="shared" si="138"/>
        <v>-10.154545454545456</v>
      </c>
      <c r="O373" s="62">
        <f>'Расчет субсидий'!R373-1</f>
        <v>0</v>
      </c>
      <c r="P373" s="62">
        <f>O373*'Расчет субсидий'!S373</f>
        <v>0</v>
      </c>
      <c r="Q373" s="63">
        <f t="shared" si="139"/>
        <v>0</v>
      </c>
      <c r="R373" s="62">
        <f>'Расчет субсидий'!V373-1</f>
        <v>0</v>
      </c>
      <c r="S373" s="62">
        <f>R373*'Расчет субсидий'!W373</f>
        <v>0</v>
      </c>
      <c r="T373" s="63">
        <f t="shared" si="140"/>
        <v>0</v>
      </c>
      <c r="U373" s="62">
        <f>'Расчет субсидий'!Z373-1</f>
        <v>0</v>
      </c>
      <c r="V373" s="62">
        <f>U373*'Расчет субсидий'!AA373</f>
        <v>0</v>
      </c>
      <c r="W373" s="63">
        <f t="shared" si="141"/>
        <v>0</v>
      </c>
      <c r="X373" s="62">
        <f t="shared" si="142"/>
        <v>-4.3561973525872428</v>
      </c>
    </row>
    <row r="374" spans="1:24" ht="15" customHeight="1">
      <c r="A374" s="36" t="s">
        <v>366</v>
      </c>
      <c r="B374" s="60">
        <f>'Расчет субсидий'!AG374</f>
        <v>-11.327272727272728</v>
      </c>
      <c r="C374" s="62">
        <f>'Расчет субсидий'!D374-1</f>
        <v>-1</v>
      </c>
      <c r="D374" s="62">
        <f>C374*'Расчет субсидий'!E374</f>
        <v>0</v>
      </c>
      <c r="E374" s="63">
        <f t="shared" si="137"/>
        <v>0</v>
      </c>
      <c r="F374" s="30" t="s">
        <v>376</v>
      </c>
      <c r="G374" s="30" t="s">
        <v>376</v>
      </c>
      <c r="H374" s="30" t="s">
        <v>376</v>
      </c>
      <c r="I374" s="30" t="s">
        <v>376</v>
      </c>
      <c r="J374" s="30" t="s">
        <v>376</v>
      </c>
      <c r="K374" s="30" t="s">
        <v>376</v>
      </c>
      <c r="L374" s="62">
        <f>'Расчет субсидий'!P374-1</f>
        <v>-0.58697318007662835</v>
      </c>
      <c r="M374" s="62">
        <f>L374*'Расчет субсидий'!Q374</f>
        <v>-11.739463601532567</v>
      </c>
      <c r="N374" s="63">
        <f t="shared" si="138"/>
        <v>-12.155633103237475</v>
      </c>
      <c r="O374" s="62">
        <f>'Расчет субсидий'!R374-1</f>
        <v>0</v>
      </c>
      <c r="P374" s="62">
        <f>O374*'Расчет субсидий'!S374</f>
        <v>0</v>
      </c>
      <c r="Q374" s="63">
        <f t="shared" si="139"/>
        <v>0</v>
      </c>
      <c r="R374" s="62">
        <f>'Расчет субсидий'!V374-1</f>
        <v>4.0000000000000036E-2</v>
      </c>
      <c r="S374" s="62">
        <f>R374*'Расчет субсидий'!W374</f>
        <v>0.80000000000000071</v>
      </c>
      <c r="T374" s="63">
        <f t="shared" si="140"/>
        <v>0.82836037596474787</v>
      </c>
      <c r="U374" s="62">
        <f>'Расчет субсидий'!Z374-1</f>
        <v>0</v>
      </c>
      <c r="V374" s="62">
        <f>U374*'Расчет субсидий'!AA374</f>
        <v>0</v>
      </c>
      <c r="W374" s="63">
        <f t="shared" si="141"/>
        <v>0</v>
      </c>
      <c r="X374" s="62">
        <f t="shared" si="142"/>
        <v>-10.939463601532566</v>
      </c>
    </row>
    <row r="375" spans="1:24" ht="15" customHeight="1">
      <c r="A375" s="36" t="s">
        <v>367</v>
      </c>
      <c r="B375" s="60">
        <f>'Расчет субсидий'!AG375</f>
        <v>-15.436363636363637</v>
      </c>
      <c r="C375" s="62">
        <f>'Расчет субсидий'!D375-1</f>
        <v>-8.7628865979381465E-2</v>
      </c>
      <c r="D375" s="62">
        <f>C375*'Расчет субсидий'!E375</f>
        <v>-0.87628865979381465</v>
      </c>
      <c r="E375" s="63">
        <f t="shared" si="137"/>
        <v>-1.507266217692482</v>
      </c>
      <c r="F375" s="30" t="s">
        <v>376</v>
      </c>
      <c r="G375" s="30" t="s">
        <v>376</v>
      </c>
      <c r="H375" s="30" t="s">
        <v>376</v>
      </c>
      <c r="I375" s="30" t="s">
        <v>376</v>
      </c>
      <c r="J375" s="30" t="s">
        <v>376</v>
      </c>
      <c r="K375" s="30" t="s">
        <v>376</v>
      </c>
      <c r="L375" s="62">
        <f>'Расчет субсидий'!P375-1</f>
        <v>-0.40490226497052439</v>
      </c>
      <c r="M375" s="62">
        <f>L375*'Расчет субсидий'!Q375</f>
        <v>-8.0980452994104883</v>
      </c>
      <c r="N375" s="63">
        <f t="shared" si="138"/>
        <v>-13.929097418671155</v>
      </c>
      <c r="O375" s="62">
        <f>'Расчет субсидий'!R375-1</f>
        <v>0</v>
      </c>
      <c r="P375" s="62">
        <f>O375*'Расчет субсидий'!S375</f>
        <v>0</v>
      </c>
      <c r="Q375" s="63">
        <f t="shared" si="139"/>
        <v>0</v>
      </c>
      <c r="R375" s="62">
        <f>'Расчет субсидий'!V375-1</f>
        <v>0</v>
      </c>
      <c r="S375" s="62">
        <f>R375*'Расчет субсидий'!W375</f>
        <v>0</v>
      </c>
      <c r="T375" s="63">
        <f t="shared" si="140"/>
        <v>0</v>
      </c>
      <c r="U375" s="62">
        <f>'Расчет субсидий'!Z375-1</f>
        <v>0</v>
      </c>
      <c r="V375" s="62">
        <f>U375*'Расчет субсидий'!AA375</f>
        <v>0</v>
      </c>
      <c r="W375" s="63">
        <f t="shared" si="141"/>
        <v>0</v>
      </c>
      <c r="X375" s="62">
        <f t="shared" si="142"/>
        <v>-8.9743339592043032</v>
      </c>
    </row>
    <row r="376" spans="1:24" ht="15" customHeight="1">
      <c r="A376" s="36" t="s">
        <v>368</v>
      </c>
      <c r="B376" s="60">
        <f>'Расчет субсидий'!AG376</f>
        <v>-42.081818181818193</v>
      </c>
      <c r="C376" s="62">
        <f>'Расчет субсидий'!D376-1</f>
        <v>-5.9444444444445299E-3</v>
      </c>
      <c r="D376" s="62">
        <f>C376*'Расчет субсидий'!E376</f>
        <v>-5.9444444444445299E-2</v>
      </c>
      <c r="E376" s="63">
        <f t="shared" si="137"/>
        <v>-0.1119898725230052</v>
      </c>
      <c r="F376" s="30" t="s">
        <v>376</v>
      </c>
      <c r="G376" s="30" t="s">
        <v>376</v>
      </c>
      <c r="H376" s="30" t="s">
        <v>376</v>
      </c>
      <c r="I376" s="30" t="s">
        <v>376</v>
      </c>
      <c r="J376" s="30" t="s">
        <v>376</v>
      </c>
      <c r="K376" s="30" t="s">
        <v>376</v>
      </c>
      <c r="L376" s="62">
        <f>'Расчет субсидий'!P376-1</f>
        <v>-0.20138336778502142</v>
      </c>
      <c r="M376" s="62">
        <f>L376*'Расчет субсидий'!Q376</f>
        <v>-4.0276673557004283</v>
      </c>
      <c r="N376" s="63">
        <f t="shared" si="138"/>
        <v>-7.5878908104104399</v>
      </c>
      <c r="O376" s="62">
        <f>'Расчет субсидий'!R376-1</f>
        <v>0</v>
      </c>
      <c r="P376" s="62">
        <f>O376*'Расчет субсидий'!S376</f>
        <v>0</v>
      </c>
      <c r="Q376" s="63">
        <f t="shared" si="139"/>
        <v>0</v>
      </c>
      <c r="R376" s="62">
        <f>'Расчет субсидий'!V376-1</f>
        <v>-0.91249999999999998</v>
      </c>
      <c r="S376" s="62">
        <f>R376*'Расчет субсидий'!W376</f>
        <v>-18.25</v>
      </c>
      <c r="T376" s="63">
        <f t="shared" si="140"/>
        <v>-34.381937498884746</v>
      </c>
      <c r="U376" s="62">
        <f>'Расчет субсидий'!Z376-1</f>
        <v>0</v>
      </c>
      <c r="V376" s="62">
        <f>U376*'Расчет субсидий'!AA376</f>
        <v>0</v>
      </c>
      <c r="W376" s="63">
        <f t="shared" si="141"/>
        <v>0</v>
      </c>
      <c r="X376" s="62">
        <f t="shared" si="142"/>
        <v>-22.337111800144875</v>
      </c>
    </row>
    <row r="377" spans="1:24" s="58" customFormat="1" ht="15" customHeight="1">
      <c r="A377" s="57" t="s">
        <v>380</v>
      </c>
      <c r="B377" s="61">
        <f>'Расчет субсидий'!AG377</f>
        <v>7915.4636363636318</v>
      </c>
      <c r="C377" s="61"/>
      <c r="D377" s="61"/>
      <c r="E377" s="61">
        <f>E6+E17+E45</f>
        <v>-899.3309421963919</v>
      </c>
      <c r="F377" s="61"/>
      <c r="G377" s="61"/>
      <c r="H377" s="61">
        <f>H6+H17</f>
        <v>0</v>
      </c>
      <c r="I377" s="61"/>
      <c r="J377" s="61"/>
      <c r="K377" s="61">
        <f>K6+K17</f>
        <v>2192.0256116106461</v>
      </c>
      <c r="L377" s="61"/>
      <c r="M377" s="61"/>
      <c r="N377" s="61">
        <f>N6+N17+N45</f>
        <v>82.847383736604343</v>
      </c>
      <c r="O377" s="61"/>
      <c r="P377" s="61"/>
      <c r="Q377" s="61">
        <f>Q6+Q17+Q45</f>
        <v>0</v>
      </c>
      <c r="R377" s="61"/>
      <c r="S377" s="61"/>
      <c r="T377" s="61">
        <f>T17+T45</f>
        <v>2481.2767788966785</v>
      </c>
      <c r="U377" s="61"/>
      <c r="V377" s="61"/>
      <c r="W377" s="61">
        <f>W17+W45</f>
        <v>4058.6448043161004</v>
      </c>
      <c r="X377" s="61"/>
    </row>
  </sheetData>
  <mergeCells count="11">
    <mergeCell ref="A1:X1"/>
    <mergeCell ref="A3:A4"/>
    <mergeCell ref="B3:B4"/>
    <mergeCell ref="X3:X4"/>
    <mergeCell ref="C3:E3"/>
    <mergeCell ref="O3:Q3"/>
    <mergeCell ref="L3:N3"/>
    <mergeCell ref="I3:K3"/>
    <mergeCell ref="F3:H3"/>
    <mergeCell ref="R3:T3"/>
    <mergeCell ref="U3:W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6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sbitneva</cp:lastModifiedBy>
  <cp:lastPrinted>2014-08-21T09:37:56Z</cp:lastPrinted>
  <dcterms:created xsi:type="dcterms:W3CDTF">2010-02-05T14:48:49Z</dcterms:created>
  <dcterms:modified xsi:type="dcterms:W3CDTF">2014-08-26T13:06:33Z</dcterms:modified>
</cp:coreProperties>
</file>