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35" windowWidth="15480" windowHeight="10230" activeTab="0"/>
  </bookViews>
  <sheets>
    <sheet name="Лист1" sheetId="1" r:id="rId1"/>
    <sheet name="Лист2" sheetId="2" r:id="rId2"/>
    <sheet name="Лист3" sheetId="3" r:id="rId3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oy55aalen513niabjk0tgk0xgc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fullCalcOnLoad="1"/>
</workbook>
</file>

<file path=xl/sharedStrings.xml><?xml version="1.0" encoding="utf-8"?>
<sst xmlns="http://schemas.openxmlformats.org/spreadsheetml/2006/main" count="645" uniqueCount="378">
  <si>
    <t>Вариант=Вариант Доходные паспортички 2009;
Табл=Отчетные данные;
МО=1000;
Дата=200713;</t>
  </si>
  <si>
    <t>Вариант=Вариант Доходные паспортички 2009;
Табл=Отчетные данные;
МО=1100;
Дата=200713;</t>
  </si>
  <si>
    <t>Вариант=Вариант Доходные паспортички 2009;
Табл=Отчетные данные;
МО=1200;
Дата=200713;</t>
  </si>
  <si>
    <t>Вариант=Вариант Доходные паспортички 2009;
Табл=Отчетные данные;
МО=1300;
Дата=200713;</t>
  </si>
  <si>
    <t>Вариант=Вариант Доходные паспортички 2009;
Табл=Отчетные данные;
МО=1400;
Дата=200713;</t>
  </si>
  <si>
    <t>Вариант=Вариант Доходные паспортички 2009;
Табл=Отчетные данные;
МО=1500;
Дата=200713;</t>
  </si>
  <si>
    <t>Вариант=Вариант Доходные паспортички 2009;
Табл=Отчетные данные;
МО=1600;
Дата=200713;</t>
  </si>
  <si>
    <t>Вариант=Вариант Доходные паспортички 2009;
Табл=Отчетные данные;
МО=1700;
Дата=200713;</t>
  </si>
  <si>
    <t>Вариант=Вариант Доходные паспортички 2009;
Табл=Отчетные данные;
МО=1800;
Дата=200713;</t>
  </si>
  <si>
    <t>Вариант=Вариант Доходные паспортички 2009;
Табл=Отчетные данные;
МО=1900;
Дата=200713;</t>
  </si>
  <si>
    <t>Вариант=Вариант Доходные паспортички 2009;
Табл=Отчетные данные;
МО=2000;
Дата=200713;</t>
  </si>
  <si>
    <t>Вариант=Вариант Доходные паспортички 2009;
Табл=Отчетные данные;
МО=2100;
Дата=200713;</t>
  </si>
  <si>
    <t>Вариант=Вариант Доходные паспортички 2009;
Табл=Отчетные данные;
МО=2200;
Дата=200713;</t>
  </si>
  <si>
    <t>Вариант=Вариант Доходные паспортички 2009;
Табл=Отчетные данные;
МО=2300;
Дата=200713;</t>
  </si>
  <si>
    <t>Вариант=Вариант Доходные паспортички 2009;
Табл=Отчетные данные;
МО=2400;
Дата=200713;</t>
  </si>
  <si>
    <t>Вариант=Вариант Доходные паспортички 2009;
Табл=Отчетные данные;
МО=2500;
Дата=200713;</t>
  </si>
  <si>
    <t>Вариант=Вариант Доходные паспортички 2009;
Табл=Отчетные данные;
МО=2600;
Дата=200713;</t>
  </si>
  <si>
    <t>Вариант=Вариант Доходные паспортички 2009;
Табл=Отчетные данные;
МО=2700;
Дата=200713;</t>
  </si>
  <si>
    <t>Вариант=Вариант Доходные паспортички 2009;
Табл=Отчетные данные;
МО=2800;
Дата=200713;</t>
  </si>
  <si>
    <t>Вариант=Вариант Доходные паспортички 2009;
Табл=Отчетные данные;
МО=2900;
Дата=200713;</t>
  </si>
  <si>
    <t>Вариант=Вариант Доходные паспортички 2009;
Табл=Отчетные данные;
МО=3000;
Дата=200713;</t>
  </si>
  <si>
    <t>Вариант=Вариант Доходные паспортички 2009;
Табл=Отчетные данные;
МО=3100;
Дата=200713;</t>
  </si>
  <si>
    <t>Вариант=Вариант Доходные паспортички 2009;
Табл=Отчетные данные;
МО=3200;
Дата=200713;</t>
  </si>
  <si>
    <t>Вариант=Вариант Доходные паспортички 2009;
Табл=Отчетные данные;
МО=3300;
Дата=200713;</t>
  </si>
  <si>
    <t>Вариант=Вариант Доходные паспортички 2009;
Табл=Отчетные данные;
МО=3400;
Дата=200713;</t>
  </si>
  <si>
    <t>Вариант=Вариант Доходные паспортички 2009;
Табл=Отчетные данные;
МО=3500;
Дата=200713;</t>
  </si>
  <si>
    <t>Вариант=Вариант Доходные паспортички 2009;
Табл=Отчетные данные;
МО=3600;
Дата=200713;</t>
  </si>
  <si>
    <t>Вариант=Вариант Доходные паспортички 2009;
Табл=Отчетные данные;
МО=3700;
Дата=200713;</t>
  </si>
  <si>
    <t>Вариант=Вариант Доходные паспортички 2009;
Табл=Отчетные данные;
МО=0200;
Дата=200812;</t>
  </si>
  <si>
    <t>Вариант=Вариант Доходные паспортички 2009;
Табл=Отчетные данные;
МО=0300;
Дата=200812;</t>
  </si>
  <si>
    <t>Вариант=Вариант Доходные паспортички 2009;
Табл=Отчетные данные;
МО=0400;
Дата=200812;</t>
  </si>
  <si>
    <t>Вариант=Вариант Доходные паспортички 2009;
Табл=Отчетные данные;
МО=0500;
Дата=200812;</t>
  </si>
  <si>
    <t>Вариант=Вариант Доходные паспортички 2009;
Табл=Отчетные данные;
МО=0600;
Дата=200812;</t>
  </si>
  <si>
    <t>Вариант=Вариант Доходные паспортички 2009;
Табл=Отчетные данные;
МО=0700;
Дата=200812;</t>
  </si>
  <si>
    <t>Вариант=Вариант Доходные паспортички 2009;
Табл=Отчетные данные;
МО=0800;
Дата=200812;</t>
  </si>
  <si>
    <t>Вариант=Вариант Доходные паспортички 2009;
Табл=Отчетные данные;
МО=0900;
Дата=200812;</t>
  </si>
  <si>
    <t>Вариант=Вариант Доходные паспортички 2009;
Табл=Отчетные данные;
МО=1000;
Дата=200812;</t>
  </si>
  <si>
    <t>Вариант=Вариант Доходные паспортички 2009;
Табл=Отчетные данные;
МО=1100;
Дата=200812;</t>
  </si>
  <si>
    <t>Вариант=Вариант Доходные паспортички 2009;
Табл=Отчетные данные;
МО=1200;
Дата=200812;</t>
  </si>
  <si>
    <t>Вариант=Вариант Доходные паспортички 2009;
Табл=Отчетные данные;
МО=1300;
Дата=200812;</t>
  </si>
  <si>
    <t>Вариант=Вариант Доходные паспортички 2009;
Табл=Отчетные данные;
МО=1400;
Дата=200812;</t>
  </si>
  <si>
    <t>Вариант=Вариант Доходные паспортички 2009;
Табл=Отчетные данные;
МО=1500;
Дата=200812;</t>
  </si>
  <si>
    <t>Вариант=Вариант Доходные паспортички 2009;
Табл=Отчетные данные;
МО=1600;
Дата=200812;</t>
  </si>
  <si>
    <t>Вариант=Вариант Доходные паспортички 2009;
Табл=Отчетные данные;
МО=1700;
Дата=200812;</t>
  </si>
  <si>
    <t>Вариант=Вариант Доходные паспортички 2009;
Табл=Отчетные данные;
МО=1800;
Дата=200812;</t>
  </si>
  <si>
    <t>Вариант=Вариант Доходные паспортички 2009;
Табл=Отчетные данные;
МО=1900;
Дата=200812;</t>
  </si>
  <si>
    <t>Вариант=Вариант Доходные паспортички 2009;
Табл=Отчетные данные;
МО=2000;
Дата=200812;</t>
  </si>
  <si>
    <t>Вариант=Вариант Доходные паспортички 2009;
Табл=Отчетные данные;
МО=2100;
Дата=200812;</t>
  </si>
  <si>
    <t>Вариант=Вариант Доходные паспортички 2009;
Табл=Отчетные данные;
МО=2200;
Дата=200812;</t>
  </si>
  <si>
    <t>Вариант=Вариант Доходные паспортички 2009;
Табл=Отчетные данные;
МО=2300;
Дата=200812;</t>
  </si>
  <si>
    <t>Вариант=Вариант Доходные паспортички 2009;
Табл=Отчетные данные;
МО=2400;
Дата=200812;</t>
  </si>
  <si>
    <t>Вариант=Вариант Доходные паспортички 2009;
Табл=Отчетные данные;
МО=2500;
Дата=200812;</t>
  </si>
  <si>
    <t>Вариант=Вариант Доходные паспортички 2009;
Табл=Отчетные данные;
МО=2600;
Дата=200812;</t>
  </si>
  <si>
    <t>Вариант=Вариант Доходные паспортички 2009;
Табл=Отчетные данные;
МО=2700;
Дата=200812;</t>
  </si>
  <si>
    <t>Вариант=Вариант Доходные паспортички 2009;
Табл=Отчетные данные;
МО=2800;
Дата=200812;</t>
  </si>
  <si>
    <t>Вариант=Вариант Доходные паспортички 2009;
Табл=Отчетные данные;
МО=2900;
Дата=200812;</t>
  </si>
  <si>
    <t>Вариант=Вариант Доходные паспортички 2009;
Табл=Отчетные данные;
МО=3000;
Дата=200812;</t>
  </si>
  <si>
    <t>Вариант=Вариант Доходные паспортички 2009;
Табл=Отчетные данные;
МО=3100;
Дата=200812;</t>
  </si>
  <si>
    <t>Вариант=Вариант Доходные паспортички 2009;
Табл=Отчетные данные;
МО=3200;
Дата=200812;</t>
  </si>
  <si>
    <t>Вариант=Вариант Доходные паспортички 2009;
Табл=Отчетные данные;
МО=3300;
Дата=200812;</t>
  </si>
  <si>
    <t>Вариант=Вариант Доходные паспортички 2009;
Табл=Отчетные данные;
МО=3400;
Дата=200812;</t>
  </si>
  <si>
    <t>Вариант=Вариант Доходные паспортички 2009;
Табл=Отчетные данные;
МО=3500;
Дата=200812;</t>
  </si>
  <si>
    <t>Вариант=Вариант Доходные паспортички 2009;
Табл=Отчетные данные;
МО=3600;
Дата=200812;</t>
  </si>
  <si>
    <t>Вариант=Вариант Доходные паспортички 2009;
Табл=Отчетные данные;
МО=3700;
Дата=200812;</t>
  </si>
  <si>
    <t>Вариант=Вариант Доходные паспортички 2009;
Табл=Отчетные данные;
МО=0200;
Дата=200901;</t>
  </si>
  <si>
    <t>Вариант=Вариант Доходные паспортички 2009;
Табл=Отчетные данные;
МО=0300;
Дата=200901;</t>
  </si>
  <si>
    <t>Вариант=Вариант Доходные паспортички 2009;
Табл=Отчетные данные;
МО=0400;
Дата=200901;</t>
  </si>
  <si>
    <t>Вариант=Вариант Доходные паспортички 2009;
Табл=Отчетные данные;
МО=0500;
Дата=200901;</t>
  </si>
  <si>
    <t>Вариант=Вариант Доходные паспортички 2009;
Табл=Отчетные данные;
МО=0600;
Дата=200901;</t>
  </si>
  <si>
    <t>Вариант=Вариант Доходные паспортички 2009;
Табл=Отчетные данные;
МО=0700;
Дата=200901;</t>
  </si>
  <si>
    <t>Вариант=Вариант Доходные паспортички 2009;
Табл=Отчетные данные;
МО=0800;
Дата=200901;</t>
  </si>
  <si>
    <t>Вариант=Вариант Доходные паспортички 2009;
Табл=Отчетные данные;
МО=0900;
Дата=200901;</t>
  </si>
  <si>
    <t>Вариант=Вариант Доходные паспортички 2009;
Табл=Отчетные данные;
МО=1000;
Дата=200901;</t>
  </si>
  <si>
    <t>Вариант=Вариант Доходные паспортички 2009;
Табл=Отчетные данные;
МО=1100;
Дата=200901;</t>
  </si>
  <si>
    <t>Вариант=Вариант Доходные паспортички 2009;
Табл=Отчетные данные;
МО=1200;
Дата=200901;</t>
  </si>
  <si>
    <t>Вариант=Вариант Доходные паспортички 2009;
Табл=Отчетные данные;
МО=1300;
Дата=200901;</t>
  </si>
  <si>
    <t>Вариант=Вариант Доходные паспортички 2009;
Табл=Отчетные данные;
МО=1400;
Дата=200901;</t>
  </si>
  <si>
    <t>Вариант=Вариант Доходные паспортички 2009;
Табл=Отчетные данные;
МО=1500;
Дата=200901;</t>
  </si>
  <si>
    <t>Вариант=Вариант Доходные паспортички 2009;
Табл=Отчетные данные;
МО=1600;
Дата=200901;</t>
  </si>
  <si>
    <t>Вариант=Вариант Доходные паспортички 2009;
Табл=Отчетные данные;
МО=1700;
Дата=200901;</t>
  </si>
  <si>
    <t>Вариант=Вариант Доходные паспортички 2009;
Табл=Отчетные данные;
МО=1800;
Дата=200901;</t>
  </si>
  <si>
    <t>Вариант=Вариант Доходные паспортички 2009;
Табл=Отчетные данные;
МО=1900;
Дата=200901;</t>
  </si>
  <si>
    <t>Вариант=Вариант Доходные паспортички 2009;
Табл=Отчетные данные;
МО=2000;
Дата=200901;</t>
  </si>
  <si>
    <t>Вариант=Вариант Доходные паспортички 2009;
Табл=Отчетные данные;
МО=2100;
Дата=200901;</t>
  </si>
  <si>
    <t>Вариант=Вариант Доходные паспортички 2009;
Табл=Отчетные данные;
МО=2200;
Дата=200901;</t>
  </si>
  <si>
    <t>Вариант=Вариант Доходные паспортички 2009;
Табл=Отчетные данные;
МО=2300;
Дата=200901;</t>
  </si>
  <si>
    <t>Вариант=Вариант Доходные паспортички 2009;
Табл=Отчетные данные;
МО=2400;
Дата=200901;</t>
  </si>
  <si>
    <t>Вариант=Вариант Доходные паспортички 2009;
Табл=Отчетные данные;
МО=2500;
Дата=200901;</t>
  </si>
  <si>
    <t>Вариант=Вариант Доходные паспортички 2009;
Табл=Отчетные данные;
МО=2600;
Дата=200901;</t>
  </si>
  <si>
    <t>Вариант=Вариант Доходные паспортички 2009;
Табл=Отчетные данные;
МО=2700;
Дата=200901;</t>
  </si>
  <si>
    <t>Вариант=Вариант Доходные паспортички 2009;
Табл=Отчетные данные;
МО=2800;
Дата=200901;</t>
  </si>
  <si>
    <t>Вариант=Вариант Доходные паспортички 2009;
Табл=Отчетные данные;
МО=2900;
Дата=200901;</t>
  </si>
  <si>
    <t>Вариант=Вариант Доходные паспортички 2009;
Табл=Отчетные данные;
МО=3000;
Дата=200901;</t>
  </si>
  <si>
    <t>Вариант=Вариант Доходные паспортички 2009;
Табл=Отчетные данные;
МО=3100;
Дата=200901;</t>
  </si>
  <si>
    <t>Вариант=Вариант Доходные паспортички 2009;
Табл=Отчетные данные;
МО=3200;
Дата=200901;</t>
  </si>
  <si>
    <t>Вариант=Вариант Доходные паспортички 2009;
Табл=Отчетные данные;
МО=3300;
Дата=200901;</t>
  </si>
  <si>
    <t>Вариант=Вариант Доходные паспортички 2009;
Табл=Отчетные данные;
МО=3400;
Дата=200901;</t>
  </si>
  <si>
    <t>Вариант=Вариант Доходные паспортички 2009;
Табл=Отчетные данные;
МО=3500;
Дата=200901;</t>
  </si>
  <si>
    <t>Вариант=Вариант Доходные паспортички 2009;
Табл=Отчетные данные;
МО=3600;
Дата=200901;</t>
  </si>
  <si>
    <t>Вариант=Вариант Доходные паспортички 2009;
Табл=Отчетные данные;
МО=3700;
Дата=200901;</t>
  </si>
  <si>
    <t>"Утверждаю"</t>
  </si>
  <si>
    <t>Заместитель министра управления финансами Самарской области</t>
  </si>
  <si>
    <t>Паспорт доходов</t>
  </si>
  <si>
    <t>Доля в численности населения Самарской области</t>
  </si>
  <si>
    <t>А</t>
  </si>
  <si>
    <t>Показатели бюджета муниципального образования</t>
  </si>
  <si>
    <t>абсолютное значение</t>
  </si>
  <si>
    <t>относительное значение (место)</t>
  </si>
  <si>
    <t>ОМСУ с максимальным значением (1 место), абсолютное значение</t>
  </si>
  <si>
    <t>"Согласовано"</t>
  </si>
  <si>
    <t>Фактические показатели за 2007 год</t>
  </si>
  <si>
    <t>Боковик для анализа
Код</t>
  </si>
  <si>
    <t>Код Боковик для анализа</t>
  </si>
  <si>
    <t>Боковик для анализа
Описание</t>
  </si>
  <si>
    <t>Боковик для анализа Описание</t>
  </si>
  <si>
    <t>Формула
Темп роста (+), снижение (-) плана 200_ года к факту 200_ года, %</t>
  </si>
  <si>
    <t>Темп роста (+), снижение (-) плана 200_ года к факту 200_ года, %</t>
  </si>
  <si>
    <t>Муниципальный район Алексеевский</t>
  </si>
  <si>
    <t>Муниципальный район Безенчукский</t>
  </si>
  <si>
    <t>Муниципальный район Богатовский</t>
  </si>
  <si>
    <t>Муниципальный район Большеглушицкий</t>
  </si>
  <si>
    <t>Муниципальный район Большечерниговский</t>
  </si>
  <si>
    <t>Муниципальный район Борский</t>
  </si>
  <si>
    <t>Муниципальный район Волжский</t>
  </si>
  <si>
    <t>Муниципальный район Елховский</t>
  </si>
  <si>
    <t>Муниципальный район Исаклинский</t>
  </si>
  <si>
    <t>Муниципальный район Камышлинский</t>
  </si>
  <si>
    <t>Муниципальный район Кинельский</t>
  </si>
  <si>
    <t>Муниципальный район Кинель-Черкасский</t>
  </si>
  <si>
    <t>Муниципальный район Клявлинский</t>
  </si>
  <si>
    <t>Муниципальный район Кошкинский</t>
  </si>
  <si>
    <t>Муниципальный район Красноармейский</t>
  </si>
  <si>
    <t>Муниципальный район Красноярский</t>
  </si>
  <si>
    <t>Муниципальный район Нефтегорский</t>
  </si>
  <si>
    <t>Муниципальный район Пестравский</t>
  </si>
  <si>
    <t>Муниципальный район Похвистневский</t>
  </si>
  <si>
    <t>Муниципальный район Приволжский</t>
  </si>
  <si>
    <t>Муниципальный район Сергиевский</t>
  </si>
  <si>
    <t>Муниципальный район Ставропольский</t>
  </si>
  <si>
    <t>Муниципальный район Сызранский</t>
  </si>
  <si>
    <t>Муниципальный район Хворостянский</t>
  </si>
  <si>
    <t>Муниципальный район Челно-Вершинский</t>
  </si>
  <si>
    <t>Муниципальный район Шенталинский</t>
  </si>
  <si>
    <t>Муниципальный район Шигонский</t>
  </si>
  <si>
    <t>70010</t>
  </si>
  <si>
    <t>численность</t>
  </si>
  <si>
    <t>70040</t>
  </si>
  <si>
    <t>кол-во плательщиков енвд</t>
  </si>
  <si>
    <t>80010</t>
  </si>
  <si>
    <t>налог на  доход физических лиц в расчете на 1 жителя</t>
  </si>
  <si>
    <t>80020</t>
  </si>
  <si>
    <t>налог на доход физических лиц в расчете на 1 занятого в экономике</t>
  </si>
  <si>
    <t>80030</t>
  </si>
  <si>
    <t>единый налог на вмененный доход в расчете на 1 жителя</t>
  </si>
  <si>
    <t>80040</t>
  </si>
  <si>
    <t>единый налог на вмененный доход в расчете на 1 налогоплательщика</t>
  </si>
  <si>
    <t>80050</t>
  </si>
  <si>
    <t>налог на имущество физических лиц в расчете на 1 жителя</t>
  </si>
  <si>
    <t>80060</t>
  </si>
  <si>
    <t>80070</t>
  </si>
  <si>
    <t>80080</t>
  </si>
  <si>
    <t>доля налоговых и неналоговых доходов по всем местным бюджетам, %</t>
  </si>
  <si>
    <t>80090</t>
  </si>
  <si>
    <t>доля налоговых и неналоговых доходов в бюджете муниципального образования, %</t>
  </si>
  <si>
    <t>80100</t>
  </si>
  <si>
    <t>бюджетная обеспеченность доходами с учетом трансфертов из ФФПМР и РФФПП в расчете на 1 жителя</t>
  </si>
  <si>
    <t>80110</t>
  </si>
  <si>
    <t>бюджетная обеспеченность доходами с учетом безвозмездных и целевых бюджетных средств в расчете на 1 жителя</t>
  </si>
  <si>
    <t>80120</t>
  </si>
  <si>
    <t>единый сельскохозяйственный налог в расчете на 1 жителя, руб./чел.</t>
  </si>
  <si>
    <t>80130</t>
  </si>
  <si>
    <t>земельный налог в расчете на 1 жителя, руб./чел.</t>
  </si>
  <si>
    <t>80140</t>
  </si>
  <si>
    <t>арендная плата за 1 га земельного участка, переданного в аренду (кроме земель сельскохозяйственного назначения), руб./га.</t>
  </si>
  <si>
    <t>80150</t>
  </si>
  <si>
    <t>80160</t>
  </si>
  <si>
    <t>процент площади земельных участков общей долевой собственности земель с/х назначения, поставленных на ГЗКУ</t>
  </si>
  <si>
    <t>80170</t>
  </si>
  <si>
    <t>процент "нулевых" деклараций по ЕНВД</t>
  </si>
  <si>
    <t>80180</t>
  </si>
  <si>
    <t>Доля неклассифицированных земельных участков, %</t>
  </si>
  <si>
    <t>80190</t>
  </si>
  <si>
    <t>Кол-во н/плательщиков по налогу на имущество ФЛ</t>
  </si>
  <si>
    <t>80191</t>
  </si>
  <si>
    <t>Кол-во н/плательщиков по налогу на имущество ФЛ: доля в численности населения, %</t>
  </si>
  <si>
    <t>80192</t>
  </si>
  <si>
    <t>Кол-во н/плательщиков по налогу на имущество ФЛ: из них кол-во льготников, чел.</t>
  </si>
  <si>
    <t>80193</t>
  </si>
  <si>
    <t>Кол-во н/плательщиков по налогу на имущество ФЛ: доля льготников, %</t>
  </si>
  <si>
    <t>80200</t>
  </si>
  <si>
    <t>Кол-во н/плательщиков ФЛ по земельному налогу, чел.</t>
  </si>
  <si>
    <t>80201</t>
  </si>
  <si>
    <t>Кол-во н/плательщиков ФЛ по земельному налогу: доля в численности населения, %</t>
  </si>
  <si>
    <t>80202</t>
  </si>
  <si>
    <t>Кол-во н/плательщиков ФЛ по земельному налогу: из них кол-во льготников, чел.</t>
  </si>
  <si>
    <t>80203</t>
  </si>
  <si>
    <t>Кол-во н/плательщиков ФЛ по земельному налогу: доля льготников, %</t>
  </si>
  <si>
    <t>80210</t>
  </si>
  <si>
    <t>Арендная плата за 1 га земельного участка земель сельскохозназначения для муниципальных районов, руб/га</t>
  </si>
  <si>
    <t>80220</t>
  </si>
  <si>
    <t>Бюджетная обеспеченность налоговыми и неналоговыми доходами в расчете на 1 жителя, руб./чел.</t>
  </si>
  <si>
    <t>80230</t>
  </si>
  <si>
    <t>80240</t>
  </si>
  <si>
    <t>Среднемесячный доход на душу населения, руб.</t>
  </si>
  <si>
    <t>80250</t>
  </si>
  <si>
    <t>Среднемесячная зарплата муниципальных служащих, тыс. руб.</t>
  </si>
  <si>
    <t>80260</t>
  </si>
  <si>
    <t>Розничный товарооборот в расчете на 1 жителя, тыс.руб.</t>
  </si>
  <si>
    <t>80270</t>
  </si>
  <si>
    <t>Площадь земельных участков, находящихся в государственной и муниципальной собственности и представленных в аренду, га</t>
  </si>
  <si>
    <t>80280</t>
  </si>
  <si>
    <t>Площадь жилых помещений, приходящаяся на 1жителя, кв.м./чел</t>
  </si>
  <si>
    <t>80290</t>
  </si>
  <si>
    <t>Отношение средней цены 1 кв.м общей площади жилья к среднедушевому доходу населения</t>
  </si>
  <si>
    <t>80300</t>
  </si>
  <si>
    <t>Отношение среднемесячной зарплаты муниципальных служащих к среднемесячной зарплате работников крупных и средних предприятий</t>
  </si>
  <si>
    <t>80310</t>
  </si>
  <si>
    <t>Программа сбалансированности бюджета</t>
  </si>
  <si>
    <t>80320</t>
  </si>
  <si>
    <t>Сумма увеличения доходов, тыс.руб.</t>
  </si>
  <si>
    <t>80330</t>
  </si>
  <si>
    <t>Сумма уменьшения расходов, тыс.руб.</t>
  </si>
  <si>
    <t>80140+80210</t>
  </si>
  <si>
    <t>Арендная плата</t>
  </si>
  <si>
    <t>сумма арендных плат</t>
  </si>
  <si>
    <t>самара</t>
  </si>
  <si>
    <t>тольятти</t>
  </si>
  <si>
    <t xml:space="preserve"> Самара</t>
  </si>
  <si>
    <t>Тольятти</t>
  </si>
  <si>
    <t>Сызрань</t>
  </si>
  <si>
    <t>Новокуйбышевск</t>
  </si>
  <si>
    <t>Чапаевск</t>
  </si>
  <si>
    <t>Отрадный</t>
  </si>
  <si>
    <t>Жигулёвск</t>
  </si>
  <si>
    <t>Октябрьск</t>
  </si>
  <si>
    <t>Кинель</t>
  </si>
  <si>
    <t>Похвистнево</t>
  </si>
  <si>
    <t>Самара</t>
  </si>
  <si>
    <t>наименование г.о. с максимальным значением</t>
  </si>
  <si>
    <t>х</t>
  </si>
  <si>
    <t>налог на имущество физических лиц в расчете на 1 проинвентаризированный объект</t>
  </si>
  <si>
    <t>сумма налоговых и неналоговых доходов</t>
  </si>
  <si>
    <t>количество проинвентаризированных объектов на 1 жителя</t>
  </si>
  <si>
    <t>Темп роста(+), снижения(-) плана 2008 года по прогнозу минэкономразвития СО на 2008 год и др. стат.данным</t>
  </si>
  <si>
    <t>Городской округ Самара_200812</t>
  </si>
  <si>
    <t>Городской округ Самара_200901</t>
  </si>
  <si>
    <t>Городской округ Самара_200713</t>
  </si>
  <si>
    <t>Городской округ Тольятти_200713</t>
  </si>
  <si>
    <t>Городской округ Сызрань_200713</t>
  </si>
  <si>
    <t>Городской округ Новокуйбышевск_200713</t>
  </si>
  <si>
    <t>Городской округ Чапаевск_200713</t>
  </si>
  <si>
    <t>Городской округ Отрадный_200713</t>
  </si>
  <si>
    <t>Городской округ Жигулёвск_200713</t>
  </si>
  <si>
    <t>Городской округ Октябрьск_200713</t>
  </si>
  <si>
    <t>Городской округ Кинель_200713</t>
  </si>
  <si>
    <t>Городской округ Похвистнево_200713</t>
  </si>
  <si>
    <t>Муниципальный район Алексеевский_200713</t>
  </si>
  <si>
    <t>Муниципальный район Безенчукский_200713</t>
  </si>
  <si>
    <t>Муниципальный район Богатовский_200713</t>
  </si>
  <si>
    <t>Муниципальный район Большеглушицкий_200713</t>
  </si>
  <si>
    <t>Муниципальный район Большечерниговский_200713</t>
  </si>
  <si>
    <t>Муниципальный район Борский_200713</t>
  </si>
  <si>
    <t>Муниципальный район Волжский_200713</t>
  </si>
  <si>
    <t>Муниципальный район Елховский_200713</t>
  </si>
  <si>
    <t>Муниципальный район Исаклинский_200713</t>
  </si>
  <si>
    <t>Муниципальный район Камышлинский_200713</t>
  </si>
  <si>
    <t>Муниципальный район Кинельский_200713</t>
  </si>
  <si>
    <t>Муниципальный район Кинель-Черкасский_200713</t>
  </si>
  <si>
    <t>Муниципальный район Клявлинский_200713</t>
  </si>
  <si>
    <t>Муниципальный район Кошкинский_200713</t>
  </si>
  <si>
    <t>Муниципальный район Красноармейский_200713</t>
  </si>
  <si>
    <t>Муниципальный район Красноярский_200713</t>
  </si>
  <si>
    <t>Муниципальный район Нефтегорский_200713</t>
  </si>
  <si>
    <t>Муниципальный район Пестравский_200713</t>
  </si>
  <si>
    <t>Муниципальный район Похвистневский_200713</t>
  </si>
  <si>
    <t>Муниципальный район Приволжский_200713</t>
  </si>
  <si>
    <t>Муниципальный район Сергиевский_200713</t>
  </si>
  <si>
    <t>Муниципальный район Ставропольский_200713</t>
  </si>
  <si>
    <t>Муниципальный район Сызранский_200713</t>
  </si>
  <si>
    <t>Муниципальный район Хворостянский_200713</t>
  </si>
  <si>
    <t>Муниципальный район Челно-Вершинский_200713</t>
  </si>
  <si>
    <t>Муниципальный район Шенталинский_200713</t>
  </si>
  <si>
    <t>Муниципальный район Шигонский_200713</t>
  </si>
  <si>
    <t>Городской округ Тольятти_200812</t>
  </si>
  <si>
    <t>Городской округ Сызрань_200812</t>
  </si>
  <si>
    <t>Городской округ Новокуйбышевск_200812</t>
  </si>
  <si>
    <t>Городской округ Чапаевск_200812</t>
  </si>
  <si>
    <t>Городской округ Отрадный_200812</t>
  </si>
  <si>
    <t>Городской округ Жигулёвск_200812</t>
  </si>
  <si>
    <t>Городской округ Октябрьск_200812</t>
  </si>
  <si>
    <t>Городской округ Кинель_200812</t>
  </si>
  <si>
    <t>Городской округ Похвистнево_200812</t>
  </si>
  <si>
    <t>Муниципальный район Алексеевский_200812</t>
  </si>
  <si>
    <t>Муниципальный район Безенчукский_200812</t>
  </si>
  <si>
    <t>Муниципальный район Богатовский_200812</t>
  </si>
  <si>
    <t>Муниципальный район Большеглушицкий_200812</t>
  </si>
  <si>
    <t>Муниципальный район Большечерниговский_200812</t>
  </si>
  <si>
    <t>Муниципальный район Борский_200812</t>
  </si>
  <si>
    <t>Муниципальный район Волжский_200812</t>
  </si>
  <si>
    <t>Муниципальный район Елховский_200812</t>
  </si>
  <si>
    <t>Муниципальный район Исаклинский_200812</t>
  </si>
  <si>
    <t>Муниципальный район Камышлинский_200812</t>
  </si>
  <si>
    <t>Муниципальный район Кинельский_200812</t>
  </si>
  <si>
    <t>Муниципальный район Кинель-Черкасский_200812</t>
  </si>
  <si>
    <t>Муниципальный район Клявлинский_200812</t>
  </si>
  <si>
    <t>Муниципальный район Кошкинский_200812</t>
  </si>
  <si>
    <t>Муниципальный район Красноармейский_200812</t>
  </si>
  <si>
    <t>Муниципальный район Красноярский_200812</t>
  </si>
  <si>
    <t>Муниципальный район Нефтегорский_200812</t>
  </si>
  <si>
    <t>Муниципальный район Пестравский_200812</t>
  </si>
  <si>
    <t>Муниципальный район Похвистневский_200812</t>
  </si>
  <si>
    <t>Муниципальный район Приволжский_200812</t>
  </si>
  <si>
    <t>Муниципальный район Сергиевский_200812</t>
  </si>
  <si>
    <t>Муниципальный район Ставропольский_200812</t>
  </si>
  <si>
    <t>Муниципальный район Сызранский_200812</t>
  </si>
  <si>
    <t>Муниципальный район Хворостянский_200812</t>
  </si>
  <si>
    <t>Муниципальный район Челно-Вершинский_200812</t>
  </si>
  <si>
    <t>Муниципальный район Шенталинский_200812</t>
  </si>
  <si>
    <t>Муниципальный район Шигонский_200812</t>
  </si>
  <si>
    <t>Городской округ Тольятти_200901</t>
  </si>
  <si>
    <t>Городской округ Сызрань_200901</t>
  </si>
  <si>
    <t>Городской округ Новокуйбышевск_200901</t>
  </si>
  <si>
    <t>Городской округ Чапаевск_200901</t>
  </si>
  <si>
    <t>Городской округ Отрадный_200901</t>
  </si>
  <si>
    <t>Городской округ Жигулёвск_200901</t>
  </si>
  <si>
    <t>Городской округ Октябрьск_200901</t>
  </si>
  <si>
    <t>Городской округ Кинель_200901</t>
  </si>
  <si>
    <t>Городской округ Похвистнево_200901</t>
  </si>
  <si>
    <t>Муниципальный район Алексеевский_200901</t>
  </si>
  <si>
    <t>Муниципальный район Безенчукский_200901</t>
  </si>
  <si>
    <t>Муниципальный район Богатовский_200901</t>
  </si>
  <si>
    <t>Муниципальный район Большеглушицкий_200901</t>
  </si>
  <si>
    <t>Муниципальный район Большечерниговский_200901</t>
  </si>
  <si>
    <t>Муниципальный район Борский_200901</t>
  </si>
  <si>
    <t>Муниципальный район Волжский_200901</t>
  </si>
  <si>
    <t>Муниципальный район Елховский_200901</t>
  </si>
  <si>
    <t>Муниципальный район Исаклинский_200901</t>
  </si>
  <si>
    <t>Муниципальный район Камышлинский_200901</t>
  </si>
  <si>
    <t>Муниципальный район Кинельский_200901</t>
  </si>
  <si>
    <t>Муниципальный район Кинель-Черкасский_200901</t>
  </si>
  <si>
    <t>Муниципальный район Клявлинский_200901</t>
  </si>
  <si>
    <t>Муниципальный район Кошкинский_200901</t>
  </si>
  <si>
    <t>Муниципальный район Красноармейский_200901</t>
  </si>
  <si>
    <t>Муниципальный район Красноярский_200901</t>
  </si>
  <si>
    <t>Муниципальный район Нефтегорский_200901</t>
  </si>
  <si>
    <t>Муниципальный район Пестравский_200901</t>
  </si>
  <si>
    <t>Муниципальный район Похвистневский_200901</t>
  </si>
  <si>
    <t>Муниципальный район Приволжский_200901</t>
  </si>
  <si>
    <t>Муниципальный район Сергиевский_200901</t>
  </si>
  <si>
    <t>Муниципальный район Ставропольский_200901</t>
  </si>
  <si>
    <t>Муниципальный район Сызранский_200901</t>
  </si>
  <si>
    <t>Муниципальный район Хворостянский_200901</t>
  </si>
  <si>
    <t>Муниципальный район Челно-Вершинский_200901</t>
  </si>
  <si>
    <t>Муниципальный район Шенталинский_200901</t>
  </si>
  <si>
    <t>Муниципальный район Шигонский_200901</t>
  </si>
  <si>
    <t>Вариант=Вариант Доходные паспортички 2009;
Табл=Отчетные данные;
МО=0100;
Дата=200713;</t>
  </si>
  <si>
    <t>Вариант=Вариант Доходные паспортички 2009;
Табл=Отчетные данные;
МО=0100;
Дата=200812;</t>
  </si>
  <si>
    <t>Вариант=Вариант Доходные паспортички 2009;
Табл=Отчетные данные;
МО=0100;
Дата=200901;</t>
  </si>
  <si>
    <t>Вариант=Вариант Доходные паспортички 2009;
Табл=Отчетные данные;
МО=0200;
Дата=200713;</t>
  </si>
  <si>
    <t>Вариант=Вариант Доходные паспортички 2009;
Табл=Отчетные данные;
МО=0300;
Дата=200713;</t>
  </si>
  <si>
    <t>Вариант=Вариант Доходные паспортички 2009;
Табл=Отчетные данные;
МО=0400;
Дата=200713;</t>
  </si>
  <si>
    <t>Вариант=Вариант Доходные паспортички 2009;
Табл=Отчетные данные;
МО=0500;
Дата=200713;</t>
  </si>
  <si>
    <t>Вариант=Вариант Доходные паспортички 2009;
Табл=Отчетные данные;
МО=0600;
Дата=200713;</t>
  </si>
  <si>
    <t>Вариант=Вариант Доходные паспортички 2009;
Табл=Отчетные данные;
МО=0700;
Дата=200713;</t>
  </si>
  <si>
    <t>Вариант=Вариант Доходные паспортички 2009;
Табл=Отчетные данные;
МО=0800;
Дата=200713;</t>
  </si>
  <si>
    <t>Вариант=Вариант Доходные паспортички 2009;
Табл=Отчетные данные;
МО=0900;
Дата=200713;</t>
  </si>
  <si>
    <t>Фактические показатели за 2008 год</t>
  </si>
  <si>
    <t>Плановый показатели на 2009 год</t>
  </si>
  <si>
    <t>Плановые показатели на 2009</t>
  </si>
  <si>
    <t>(на 01 января 2009 г.)</t>
  </si>
  <si>
    <t>"___"____________2009 г. _____________</t>
  </si>
  <si>
    <t>Численность населения МО на 01.01.2009 г.</t>
  </si>
  <si>
    <t>Динамика изменения рейтинга плана 2009 года к факту 2008 года</t>
  </si>
  <si>
    <t>Темп роста (+), снижения (-) плана 2009 года к факту 2008 года, %</t>
  </si>
  <si>
    <t>Темп роста (+), снижения (-) факта 2008 года к факту 2007 года, %</t>
  </si>
  <si>
    <t>"___"____________2009 г. ____________Е.Н.Зябкина</t>
  </si>
  <si>
    <t>Городской округ Чапаевск</t>
  </si>
  <si>
    <t>Среднемесячная зарплата работников крупных и средних предприятий, тыс.руб.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</si>
</sst>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</numFmts>
  <fonts count="32">
    <font>
      <sz val="10"/>
      <name val="Arial Cyr"/>
      <family val="0"/>
    </font>
    <font>
      <i/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color indexed="8"/>
      <name val="Calibri"/>
      <family val="2"/>
    </font>
    <font>
      <i/>
      <sz val="10"/>
      <color indexed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9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4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06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Alignment="1" quotePrefix="1">
      <alignment wrapText="1"/>
    </xf>
    <xf numFmtId="0" fontId="1" fillId="0" borderId="0" xfId="0" applyFont="1" applyAlignment="1" quotePrefix="1">
      <alignment wrapText="1"/>
    </xf>
    <xf numFmtId="0" fontId="1" fillId="0" borderId="0" xfId="0" applyFont="1" applyAlignment="1">
      <alignment wrapText="1"/>
    </xf>
    <xf numFmtId="49" fontId="2" fillId="0" borderId="0" xfId="0" applyNumberFormat="1" applyFont="1" applyAlignment="1" quotePrefix="1">
      <alignment wrapText="1"/>
    </xf>
    <xf numFmtId="0" fontId="2" fillId="0" borderId="0" xfId="0" applyFont="1" applyAlignment="1" quotePrefix="1">
      <alignment wrapText="1"/>
    </xf>
    <xf numFmtId="0" fontId="2" fillId="0" borderId="0" xfId="0" applyFont="1" applyAlignment="1">
      <alignment wrapText="1"/>
    </xf>
    <xf numFmtId="0" fontId="21" fillId="0" borderId="0" xfId="66" applyFont="1" applyAlignment="1">
      <alignment wrapText="1"/>
      <protection/>
    </xf>
    <xf numFmtId="0" fontId="22" fillId="0" borderId="0" xfId="58" applyNumberFormat="1" applyFont="1" applyFill="1" applyBorder="1" applyAlignment="1" applyProtection="1">
      <alignment horizontal="center" vertical="top"/>
      <protection/>
    </xf>
    <xf numFmtId="0" fontId="21" fillId="0" borderId="0" xfId="66" applyFont="1" applyAlignment="1" quotePrefix="1">
      <alignment wrapText="1"/>
      <protection/>
    </xf>
    <xf numFmtId="0" fontId="23" fillId="0" borderId="0" xfId="66" applyNumberFormat="1" applyFont="1" applyFill="1" applyBorder="1" applyAlignment="1" applyProtection="1">
      <alignment vertical="top"/>
      <protection/>
    </xf>
    <xf numFmtId="0" fontId="22" fillId="0" borderId="0" xfId="66" applyNumberFormat="1" applyFont="1" applyFill="1" applyBorder="1" applyAlignment="1" applyProtection="1">
      <alignment horizontal="center" vertical="top"/>
      <protection/>
    </xf>
    <xf numFmtId="0" fontId="24" fillId="0" borderId="0" xfId="66" applyFont="1" applyAlignment="1" quotePrefix="1">
      <alignment horizontal="center" wrapText="1"/>
      <protection/>
    </xf>
    <xf numFmtId="0" fontId="23" fillId="0" borderId="0" xfId="66" applyNumberFormat="1" applyFont="1" applyFill="1" applyBorder="1" applyAlignment="1" applyProtection="1">
      <alignment horizontal="center" vertical="top"/>
      <protection/>
    </xf>
    <xf numFmtId="0" fontId="23" fillId="0" borderId="0" xfId="59" applyNumberFormat="1" applyFont="1" applyFill="1" applyBorder="1" applyAlignment="1" applyProtection="1">
      <alignment horizontal="center" vertical="top"/>
      <protection/>
    </xf>
    <xf numFmtId="0" fontId="25" fillId="0" borderId="0" xfId="66" applyFont="1" applyAlignment="1" quotePrefix="1">
      <alignment wrapText="1"/>
      <protection/>
    </xf>
    <xf numFmtId="0" fontId="23" fillId="0" borderId="0" xfId="60" applyNumberFormat="1" applyFont="1" applyFill="1" applyBorder="1" applyAlignment="1" applyProtection="1">
      <alignment horizontal="center" wrapText="1"/>
      <protection/>
    </xf>
    <xf numFmtId="2" fontId="26" fillId="0" borderId="0" xfId="66" applyNumberFormat="1" applyFont="1" applyAlignment="1" quotePrefix="1">
      <alignment wrapText="1"/>
      <protection/>
    </xf>
    <xf numFmtId="49" fontId="21" fillId="0" borderId="0" xfId="66" applyNumberFormat="1" applyFont="1" applyAlignment="1" quotePrefix="1">
      <alignment wrapText="1"/>
      <protection/>
    </xf>
    <xf numFmtId="0" fontId="22" fillId="0" borderId="0" xfId="66" applyNumberFormat="1" applyFont="1" applyFill="1" applyBorder="1" applyAlignment="1" applyProtection="1">
      <alignment horizontal="center" vertical="top" wrapText="1"/>
      <protection/>
    </xf>
    <xf numFmtId="0" fontId="23" fillId="0" borderId="0" xfId="66" applyNumberFormat="1" applyFont="1" applyFill="1" applyBorder="1" applyAlignment="1" applyProtection="1">
      <alignment horizontal="center" vertical="top" wrapText="1"/>
      <protection/>
    </xf>
    <xf numFmtId="0" fontId="27" fillId="0" borderId="0" xfId="66" applyNumberFormat="1" applyFont="1" applyFill="1" applyBorder="1" applyAlignment="1" applyProtection="1">
      <alignment horizontal="center" wrapText="1"/>
      <protection/>
    </xf>
    <xf numFmtId="49" fontId="22" fillId="0" borderId="10" xfId="61" applyNumberFormat="1" applyFont="1" applyFill="1" applyBorder="1" applyAlignment="1" applyProtection="1">
      <alignment horizontal="center" vertical="top"/>
      <protection/>
    </xf>
    <xf numFmtId="0" fontId="23" fillId="0" borderId="10" xfId="62" applyNumberFormat="1" applyFont="1" applyFill="1" applyBorder="1" applyAlignment="1" applyProtection="1">
      <alignment horizontal="center" vertical="top" wrapText="1"/>
      <protection/>
    </xf>
    <xf numFmtId="49" fontId="22" fillId="0" borderId="11" xfId="61" applyNumberFormat="1" applyFont="1" applyFill="1" applyBorder="1" applyAlignment="1" applyProtection="1">
      <alignment horizontal="center" vertical="top"/>
      <protection/>
    </xf>
    <xf numFmtId="0" fontId="23" fillId="0" borderId="11" xfId="62" applyNumberFormat="1" applyFont="1" applyFill="1" applyBorder="1" applyAlignment="1" applyProtection="1">
      <alignment horizontal="center" vertical="top" wrapText="1"/>
      <protection/>
    </xf>
    <xf numFmtId="49" fontId="28" fillId="0" borderId="12" xfId="61" applyNumberFormat="1" applyFont="1" applyFill="1" applyBorder="1" applyAlignment="1" applyProtection="1">
      <alignment horizontal="center" vertical="top" wrapText="1"/>
      <protection/>
    </xf>
    <xf numFmtId="0" fontId="29" fillId="0" borderId="12" xfId="62" applyNumberFormat="1" applyFont="1" applyFill="1" applyBorder="1" applyAlignment="1" applyProtection="1">
      <alignment horizontal="center" vertical="top" wrapText="1"/>
      <protection/>
    </xf>
    <xf numFmtId="49" fontId="27" fillId="0" borderId="11" xfId="61" applyNumberFormat="1" applyFont="1" applyFill="1" applyBorder="1" applyAlignment="1" applyProtection="1">
      <alignment horizontal="center" vertical="top" wrapText="1"/>
      <protection/>
    </xf>
    <xf numFmtId="0" fontId="27" fillId="0" borderId="11" xfId="62" applyNumberFormat="1" applyFont="1" applyFill="1" applyBorder="1" applyAlignment="1" applyProtection="1">
      <alignment horizontal="center" vertical="top" wrapText="1"/>
      <protection/>
    </xf>
    <xf numFmtId="49" fontId="0" fillId="0" borderId="13" xfId="0" applyNumberFormat="1" applyBorder="1" applyAlignment="1">
      <alignment/>
    </xf>
    <xf numFmtId="49" fontId="0" fillId="0" borderId="13" xfId="0" applyNumberFormat="1" applyBorder="1" applyAlignment="1">
      <alignment vertical="top" wrapText="1"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27" fillId="0" borderId="12" xfId="57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/>
    </xf>
    <xf numFmtId="49" fontId="3" fillId="0" borderId="13" xfId="0" applyNumberFormat="1" applyFont="1" applyBorder="1" applyAlignment="1">
      <alignment/>
    </xf>
    <xf numFmtId="0" fontId="22" fillId="0" borderId="14" xfId="64" applyNumberFormat="1" applyFont="1" applyFill="1" applyBorder="1" applyAlignment="1" applyProtection="1">
      <alignment vertical="top" wrapText="1"/>
      <protection/>
    </xf>
    <xf numFmtId="0" fontId="1" fillId="0" borderId="0" xfId="0" applyFont="1" applyAlignment="1" quotePrefix="1">
      <alignment horizontal="center" wrapText="1"/>
    </xf>
    <xf numFmtId="0" fontId="21" fillId="0" borderId="0" xfId="66" applyFont="1" applyAlignment="1" quotePrefix="1">
      <alignment horizontal="center" wrapText="1"/>
      <protection/>
    </xf>
    <xf numFmtId="0" fontId="2" fillId="0" borderId="0" xfId="0" applyFont="1" applyAlignment="1" quotePrefix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21" fillId="0" borderId="0" xfId="66" applyFont="1" applyAlignment="1">
      <alignment horizontal="center" wrapText="1"/>
      <protection/>
    </xf>
    <xf numFmtId="0" fontId="0" fillId="0" borderId="13" xfId="0" applyBorder="1" applyAlignment="1">
      <alignment horizontal="right"/>
    </xf>
    <xf numFmtId="0" fontId="22" fillId="0" borderId="15" xfId="64" applyNumberFormat="1" applyFont="1" applyFill="1" applyBorder="1" applyAlignment="1" applyProtection="1">
      <alignment horizontal="right" vertical="top" wrapText="1"/>
      <protection/>
    </xf>
    <xf numFmtId="169" fontId="0" fillId="0" borderId="13" xfId="0" applyNumberFormat="1" applyBorder="1" applyAlignment="1">
      <alignment/>
    </xf>
    <xf numFmtId="0" fontId="31" fillId="0" borderId="0" xfId="0" applyFont="1" applyAlignment="1" quotePrefix="1">
      <alignment wrapText="1"/>
    </xf>
    <xf numFmtId="0" fontId="27" fillId="0" borderId="11" xfId="54" applyNumberFormat="1" applyFont="1" applyFill="1" applyBorder="1" applyAlignment="1" applyProtection="1">
      <alignment horizontal="center" vertical="top" wrapText="1"/>
      <protection/>
    </xf>
    <xf numFmtId="0" fontId="2" fillId="0" borderId="13" xfId="0" applyFont="1" applyBorder="1" applyAlignment="1" quotePrefix="1">
      <alignment wrapText="1"/>
    </xf>
    <xf numFmtId="0" fontId="2" fillId="0" borderId="13" xfId="0" applyFont="1" applyBorder="1" applyAlignment="1">
      <alignment wrapText="1"/>
    </xf>
    <xf numFmtId="0" fontId="27" fillId="0" borderId="13" xfId="0" applyFont="1" applyBorder="1" applyAlignment="1" quotePrefix="1">
      <alignment horizontal="center" wrapText="1"/>
    </xf>
    <xf numFmtId="2" fontId="0" fillId="0" borderId="13" xfId="0" applyNumberFormat="1" applyBorder="1" applyAlignment="1">
      <alignment/>
    </xf>
    <xf numFmtId="0" fontId="27" fillId="24" borderId="11" xfId="53" applyNumberFormat="1" applyFont="1" applyFill="1" applyBorder="1" applyAlignment="1" applyProtection="1">
      <alignment horizontal="center" vertical="top" wrapText="1"/>
      <protection/>
    </xf>
    <xf numFmtId="0" fontId="0" fillId="24" borderId="13" xfId="0" applyFill="1" applyBorder="1" applyAlignment="1">
      <alignment/>
    </xf>
    <xf numFmtId="0" fontId="29" fillId="4" borderId="13" xfId="53" applyNumberFormat="1" applyFont="1" applyFill="1" applyBorder="1" applyAlignment="1" applyProtection="1">
      <alignment horizontal="center" vertical="top" wrapText="1"/>
      <protection/>
    </xf>
    <xf numFmtId="0" fontId="27" fillId="4" borderId="11" xfId="53" applyNumberFormat="1" applyFont="1" applyFill="1" applyBorder="1" applyAlignment="1" applyProtection="1">
      <alignment horizontal="center" vertical="top" wrapText="1"/>
      <protection/>
    </xf>
    <xf numFmtId="0" fontId="0" fillId="4" borderId="13" xfId="0" applyFill="1" applyBorder="1" applyAlignment="1">
      <alignment/>
    </xf>
    <xf numFmtId="0" fontId="29" fillId="4" borderId="13" xfId="65" applyNumberFormat="1" applyFont="1" applyFill="1" applyBorder="1" applyAlignment="1" applyProtection="1">
      <alignment horizontal="center" vertical="top" wrapText="1"/>
      <protection/>
    </xf>
    <xf numFmtId="0" fontId="27" fillId="4" borderId="11" xfId="65" applyNumberFormat="1" applyFont="1" applyFill="1" applyBorder="1" applyAlignment="1" applyProtection="1">
      <alignment horizontal="center" vertical="top" wrapText="1"/>
      <protection/>
    </xf>
    <xf numFmtId="0" fontId="29" fillId="4" borderId="13" xfId="54" applyNumberFormat="1" applyFont="1" applyFill="1" applyBorder="1" applyAlignment="1" applyProtection="1">
      <alignment horizontal="center" vertical="top" wrapText="1"/>
      <protection/>
    </xf>
    <xf numFmtId="0" fontId="27" fillId="4" borderId="11" xfId="54" applyNumberFormat="1" applyFont="1" applyFill="1" applyBorder="1" applyAlignment="1" applyProtection="1">
      <alignment horizontal="center" vertical="top" wrapText="1"/>
      <protection/>
    </xf>
    <xf numFmtId="0" fontId="29" fillId="23" borderId="13" xfId="53" applyNumberFormat="1" applyFont="1" applyFill="1" applyBorder="1" applyAlignment="1" applyProtection="1">
      <alignment horizontal="center" vertical="top" wrapText="1"/>
      <protection/>
    </xf>
    <xf numFmtId="0" fontId="27" fillId="23" borderId="11" xfId="53" applyNumberFormat="1" applyFont="1" applyFill="1" applyBorder="1" applyAlignment="1" applyProtection="1">
      <alignment horizontal="center" vertical="top" wrapText="1"/>
      <protection/>
    </xf>
    <xf numFmtId="0" fontId="0" fillId="23" borderId="13" xfId="0" applyFill="1" applyBorder="1" applyAlignment="1">
      <alignment/>
    </xf>
    <xf numFmtId="0" fontId="0" fillId="23" borderId="13" xfId="0" applyFill="1" applyBorder="1" applyAlignment="1">
      <alignment horizontal="center"/>
    </xf>
    <xf numFmtId="0" fontId="29" fillId="23" borderId="13" xfId="65" applyNumberFormat="1" applyFont="1" applyFill="1" applyBorder="1" applyAlignment="1" applyProtection="1">
      <alignment horizontal="center" vertical="top" wrapText="1"/>
      <protection/>
    </xf>
    <xf numFmtId="0" fontId="27" fillId="23" borderId="11" xfId="65" applyNumberFormat="1" applyFont="1" applyFill="1" applyBorder="1" applyAlignment="1" applyProtection="1">
      <alignment horizontal="center" vertical="top" wrapText="1"/>
      <protection/>
    </xf>
    <xf numFmtId="0" fontId="29" fillId="23" borderId="13" xfId="54" applyNumberFormat="1" applyFont="1" applyFill="1" applyBorder="1" applyAlignment="1" applyProtection="1">
      <alignment horizontal="center" vertical="top" wrapText="1"/>
      <protection/>
    </xf>
    <xf numFmtId="0" fontId="27" fillId="23" borderId="11" xfId="54" applyNumberFormat="1" applyFont="1" applyFill="1" applyBorder="1" applyAlignment="1" applyProtection="1">
      <alignment horizontal="center" vertical="top" wrapText="1"/>
      <protection/>
    </xf>
    <xf numFmtId="0" fontId="27" fillId="24" borderId="13" xfId="65" applyNumberFormat="1" applyFont="1" applyFill="1" applyBorder="1" applyAlignment="1" applyProtection="1">
      <alignment horizontal="center" vertical="top" wrapText="1"/>
      <protection/>
    </xf>
    <xf numFmtId="0" fontId="27" fillId="24" borderId="13" xfId="53" applyNumberFormat="1" applyFont="1" applyFill="1" applyBorder="1" applyAlignment="1" applyProtection="1">
      <alignment horizontal="center" vertical="top" wrapText="1"/>
      <protection/>
    </xf>
    <xf numFmtId="0" fontId="27" fillId="24" borderId="11" xfId="65" applyNumberFormat="1" applyFont="1" applyFill="1" applyBorder="1" applyAlignment="1" applyProtection="1">
      <alignment horizontal="center" vertical="top" wrapText="1"/>
      <protection/>
    </xf>
    <xf numFmtId="0" fontId="0" fillId="24" borderId="13" xfId="0" applyFill="1" applyBorder="1" applyAlignment="1">
      <alignment horizontal="center"/>
    </xf>
    <xf numFmtId="0" fontId="27" fillId="24" borderId="13" xfId="54" applyNumberFormat="1" applyFont="1" applyFill="1" applyBorder="1" applyAlignment="1" applyProtection="1">
      <alignment horizontal="center" vertical="top" wrapText="1"/>
      <protection/>
    </xf>
    <xf numFmtId="0" fontId="27" fillId="24" borderId="11" xfId="54" applyNumberFormat="1" applyFont="1" applyFill="1" applyBorder="1" applyAlignment="1" applyProtection="1">
      <alignment horizontal="center" vertical="top" wrapText="1"/>
      <protection/>
    </xf>
    <xf numFmtId="0" fontId="27" fillId="24" borderId="0" xfId="54" applyNumberFormat="1" applyFont="1" applyFill="1" applyBorder="1" applyAlignment="1" applyProtection="1">
      <alignment horizontal="center" vertical="top" wrapText="1"/>
      <protection/>
    </xf>
    <xf numFmtId="0" fontId="0" fillId="4" borderId="13" xfId="0" applyFill="1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49" fontId="0" fillId="0" borderId="13" xfId="0" applyNumberFormat="1" applyBorder="1" applyAlignment="1" applyProtection="1">
      <alignment/>
      <protection locked="0"/>
    </xf>
    <xf numFmtId="0" fontId="0" fillId="0" borderId="13" xfId="0" applyNumberFormat="1" applyBorder="1" applyAlignment="1" applyProtection="1">
      <alignment/>
      <protection/>
    </xf>
    <xf numFmtId="0" fontId="0" fillId="4" borderId="13" xfId="0" applyFill="1" applyBorder="1" applyAlignment="1">
      <alignment horizontal="right"/>
    </xf>
    <xf numFmtId="0" fontId="0" fillId="23" borderId="13" xfId="0" applyFill="1" applyBorder="1" applyAlignment="1">
      <alignment horizontal="right"/>
    </xf>
    <xf numFmtId="0" fontId="0" fillId="24" borderId="13" xfId="0" applyFill="1" applyBorder="1" applyAlignment="1">
      <alignment horizontal="right"/>
    </xf>
    <xf numFmtId="2" fontId="0" fillId="0" borderId="13" xfId="0" applyNumberFormat="1" applyBorder="1" applyAlignment="1">
      <alignment horizontal="right"/>
    </xf>
    <xf numFmtId="0" fontId="0" fillId="4" borderId="13" xfId="0" applyFill="1" applyBorder="1" applyAlignment="1" applyProtection="1">
      <alignment horizontal="right"/>
      <protection locked="0"/>
    </xf>
    <xf numFmtId="0" fontId="0" fillId="4" borderId="13" xfId="0" applyFont="1" applyFill="1" applyBorder="1" applyAlignment="1" applyProtection="1">
      <alignment/>
      <protection locked="0"/>
    </xf>
    <xf numFmtId="0" fontId="22" fillId="0" borderId="16" xfId="64" applyNumberFormat="1" applyFont="1" applyFill="1" applyBorder="1" applyAlignment="1" applyProtection="1">
      <alignment horizontal="center" vertical="top" wrapText="1"/>
      <protection/>
    </xf>
    <xf numFmtId="0" fontId="22" fillId="0" borderId="14" xfId="64" applyNumberFormat="1" applyFont="1" applyFill="1" applyBorder="1" applyAlignment="1" applyProtection="1">
      <alignment horizontal="center" vertical="top" wrapText="1"/>
      <protection/>
    </xf>
    <xf numFmtId="0" fontId="22" fillId="0" borderId="15" xfId="64" applyNumberFormat="1" applyFont="1" applyFill="1" applyBorder="1" applyAlignment="1" applyProtection="1">
      <alignment horizontal="center" vertical="top" wrapText="1"/>
      <protection/>
    </xf>
    <xf numFmtId="0" fontId="22" fillId="0" borderId="13" xfId="52" applyNumberFormat="1" applyFont="1" applyFill="1" applyBorder="1" applyAlignment="1" applyProtection="1">
      <alignment horizontal="center" vertical="top" wrapText="1"/>
      <protection/>
    </xf>
    <xf numFmtId="0" fontId="22" fillId="0" borderId="13" xfId="64" applyNumberFormat="1" applyFont="1" applyFill="1" applyBorder="1" applyAlignment="1" applyProtection="1">
      <alignment horizontal="center" vertical="top" wrapText="1"/>
      <protection/>
    </xf>
    <xf numFmtId="0" fontId="27" fillId="0" borderId="10" xfId="56" applyNumberFormat="1" applyFont="1" applyFill="1" applyBorder="1" applyAlignment="1" applyProtection="1">
      <alignment horizontal="center" vertical="center" wrapText="1"/>
      <protection/>
    </xf>
    <xf numFmtId="0" fontId="27" fillId="0" borderId="11" xfId="56" applyNumberFormat="1" applyFont="1" applyFill="1" applyBorder="1" applyAlignment="1" applyProtection="1">
      <alignment horizontal="center" vertical="center" wrapText="1"/>
      <protection/>
    </xf>
    <xf numFmtId="0" fontId="27" fillId="0" borderId="12" xfId="56" applyNumberFormat="1" applyFont="1" applyFill="1" applyBorder="1" applyAlignment="1" applyProtection="1">
      <alignment horizontal="center" vertical="center" wrapText="1"/>
      <protection/>
    </xf>
    <xf numFmtId="0" fontId="23" fillId="0" borderId="13" xfId="55" applyNumberFormat="1" applyFont="1" applyFill="1" applyBorder="1" applyAlignment="1" applyProtection="1">
      <alignment horizontal="center" vertical="center" wrapText="1"/>
      <protection/>
    </xf>
    <xf numFmtId="0" fontId="27" fillId="0" borderId="13" xfId="55" applyNumberFormat="1" applyFont="1" applyFill="1" applyBorder="1" applyAlignment="1" applyProtection="1">
      <alignment horizontal="center" vertical="center" wrapText="1"/>
      <protection/>
    </xf>
    <xf numFmtId="0" fontId="30" fillId="0" borderId="13" xfId="66" applyFont="1" applyBorder="1" applyAlignment="1">
      <alignment horizontal="center" vertical="center" wrapText="1"/>
      <protection/>
    </xf>
    <xf numFmtId="0" fontId="22" fillId="0" borderId="13" xfId="63" applyNumberFormat="1" applyFont="1" applyFill="1" applyBorder="1" applyAlignment="1" applyProtection="1">
      <alignment horizontal="center" vertical="top" wrapText="1"/>
      <protection/>
    </xf>
    <xf numFmtId="0" fontId="24" fillId="0" borderId="0" xfId="66" applyFont="1" applyAlignment="1" quotePrefix="1">
      <alignment horizontal="center" wrapText="1"/>
      <protection/>
    </xf>
    <xf numFmtId="0" fontId="0" fillId="0" borderId="0" xfId="0" applyAlignment="1">
      <alignment wrapText="1"/>
    </xf>
    <xf numFmtId="0" fontId="23" fillId="0" borderId="0" xfId="59" applyNumberFormat="1" applyFont="1" applyFill="1" applyBorder="1" applyAlignment="1" applyProtection="1">
      <alignment horizontal="center" vertical="top"/>
      <protection/>
    </xf>
    <xf numFmtId="0" fontId="0" fillId="0" borderId="0" xfId="0" applyAlignment="1">
      <alignment/>
    </xf>
    <xf numFmtId="0" fontId="23" fillId="0" borderId="0" xfId="60" applyNumberFormat="1" applyFont="1" applyFill="1" applyBorder="1" applyAlignment="1" applyProtection="1">
      <alignment horizontal="center" wrapText="1"/>
      <protection/>
    </xf>
    <xf numFmtId="0" fontId="22" fillId="0" borderId="13" xfId="54" applyNumberFormat="1" applyFont="1" applyFill="1" applyBorder="1" applyAlignment="1" applyProtection="1">
      <alignment horizontal="center" vertical="top" wrapText="1"/>
      <protection/>
    </xf>
  </cellXfs>
  <cellStyles count="7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1" xfId="53"/>
    <cellStyle name="Обычный 12" xfId="54"/>
    <cellStyle name="Обычный 13" xfId="55"/>
    <cellStyle name="Обычный 14" xfId="56"/>
    <cellStyle name="Обычный 15" xfId="57"/>
    <cellStyle name="Обычный 2" xfId="58"/>
    <cellStyle name="Обычный 3" xfId="59"/>
    <cellStyle name="Обычный 4" xfId="60"/>
    <cellStyle name="Обычный 5" xfId="61"/>
    <cellStyle name="Обычный 6" xfId="62"/>
    <cellStyle name="Обычный 7" xfId="63"/>
    <cellStyle name="Обычный 8" xfId="64"/>
    <cellStyle name="Обычный 9" xfId="65"/>
    <cellStyle name="Обычный_Лист1" xfId="66"/>
    <cellStyle name="Плохой" xfId="67"/>
    <cellStyle name="Пояснение" xfId="68"/>
    <cellStyle name="Примечание" xfId="69"/>
    <cellStyle name="Percent" xfId="70"/>
    <cellStyle name="Связанная ячейка" xfId="71"/>
    <cellStyle name="Текст предупреждения" xfId="72"/>
    <cellStyle name="Comma" xfId="73"/>
    <cellStyle name="Comma [0]" xfId="74"/>
    <cellStyle name="Финансовый 10" xfId="75"/>
    <cellStyle name="Финансовый 11" xfId="76"/>
    <cellStyle name="Финансовый 12" xfId="77"/>
    <cellStyle name="Финансовый 13" xfId="78"/>
    <cellStyle name="Финансовый 14" xfId="79"/>
    <cellStyle name="Финансовый 15" xfId="80"/>
    <cellStyle name="Финансовый 2" xfId="81"/>
    <cellStyle name="Финансовый 3" xfId="82"/>
    <cellStyle name="Финансовый 4" xfId="83"/>
    <cellStyle name="Финансовый 5" xfId="84"/>
    <cellStyle name="Финансовый 6" xfId="85"/>
    <cellStyle name="Финансовый 7" xfId="86"/>
    <cellStyle name="Финансовый 8" xfId="87"/>
    <cellStyle name="Финансовый 9" xfId="88"/>
    <cellStyle name="Хороший" xfId="8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Z59"/>
  <sheetViews>
    <sheetView tabSelected="1" zoomScale="80" zoomScaleNormal="80" zoomScalePageLayoutView="0" workbookViewId="0" topLeftCell="B3">
      <pane xSplit="1" ySplit="9" topLeftCell="G12" activePane="bottomRight" state="frozen"/>
      <selection pane="topLeft" activeCell="B3" sqref="B3"/>
      <selection pane="topRight" activeCell="C3" sqref="C3"/>
      <selection pane="bottomLeft" activeCell="B12" sqref="B12"/>
      <selection pane="bottomRight" activeCell="G47" sqref="G47"/>
    </sheetView>
  </sheetViews>
  <sheetFormatPr defaultColWidth="9.00390625" defaultRowHeight="12.75"/>
  <cols>
    <col min="1" max="1" width="8.00390625" style="1" hidden="1" customWidth="1"/>
    <col min="2" max="2" width="52.375" style="1" customWidth="1"/>
    <col min="3" max="3" width="13.375" style="0" customWidth="1"/>
    <col min="4" max="4" width="13.25390625" style="0" customWidth="1"/>
    <col min="5" max="5" width="13.625" style="0" customWidth="1"/>
    <col min="6" max="6" width="15.75390625" style="42" customWidth="1"/>
    <col min="7" max="7" width="14.625" style="0" customWidth="1"/>
    <col min="8" max="8" width="13.625" style="0" customWidth="1"/>
    <col min="9" max="9" width="15.00390625" style="0" customWidth="1"/>
    <col min="10" max="10" width="15.375" style="42" customWidth="1"/>
    <col min="11" max="11" width="14.00390625" style="0" customWidth="1"/>
    <col min="12" max="12" width="14.25390625" style="0" hidden="1" customWidth="1"/>
    <col min="13" max="13" width="13.25390625" style="0" customWidth="1"/>
    <col min="14" max="14" width="13.875" style="0" customWidth="1"/>
    <col min="15" max="15" width="14.00390625" style="0" customWidth="1"/>
    <col min="16" max="16" width="15.375" style="42" customWidth="1"/>
    <col min="17" max="54" width="0" style="0" hidden="1" customWidth="1"/>
    <col min="55" max="55" width="13.875" style="0" hidden="1" customWidth="1"/>
    <col min="56" max="127" width="0" style="0" hidden="1" customWidth="1"/>
    <col min="128" max="128" width="14.00390625" style="0" hidden="1" customWidth="1"/>
    <col min="129" max="129" width="14.00390625" style="0" customWidth="1"/>
    <col min="130" max="130" width="14.125" style="0" customWidth="1"/>
  </cols>
  <sheetData>
    <row r="1" spans="1:129" s="4" customFormat="1" ht="35.25" customHeight="1" hidden="1">
      <c r="A1" s="2" t="s">
        <v>111</v>
      </c>
      <c r="B1" s="2" t="s">
        <v>113</v>
      </c>
      <c r="C1" s="3" t="s">
        <v>361</v>
      </c>
      <c r="D1" s="3"/>
      <c r="E1" s="3"/>
      <c r="F1" s="39"/>
      <c r="G1" s="3" t="s">
        <v>31</v>
      </c>
      <c r="H1" s="3"/>
      <c r="I1" s="3"/>
      <c r="J1" s="39"/>
      <c r="K1" s="3" t="s">
        <v>115</v>
      </c>
      <c r="L1" s="3"/>
      <c r="M1" s="3" t="s">
        <v>67</v>
      </c>
      <c r="N1" s="3"/>
      <c r="O1" s="3"/>
      <c r="P1" s="39"/>
      <c r="Q1" s="3"/>
      <c r="R1" s="3" t="s">
        <v>355</v>
      </c>
      <c r="S1" s="3" t="s">
        <v>358</v>
      </c>
      <c r="T1" s="3" t="s">
        <v>359</v>
      </c>
      <c r="U1" s="3" t="s">
        <v>360</v>
      </c>
      <c r="V1" s="3" t="s">
        <v>361</v>
      </c>
      <c r="W1" s="3" t="s">
        <v>362</v>
      </c>
      <c r="X1" s="3" t="s">
        <v>363</v>
      </c>
      <c r="Y1" s="3" t="s">
        <v>364</v>
      </c>
      <c r="Z1" s="3" t="s">
        <v>365</v>
      </c>
      <c r="AA1" s="3" t="s">
        <v>0</v>
      </c>
      <c r="AB1" s="3" t="s">
        <v>1</v>
      </c>
      <c r="AC1" s="3" t="s">
        <v>2</v>
      </c>
      <c r="AD1" s="3" t="s">
        <v>3</v>
      </c>
      <c r="AE1" s="3" t="s">
        <v>4</v>
      </c>
      <c r="AF1" s="3" t="s">
        <v>5</v>
      </c>
      <c r="AG1" s="3" t="s">
        <v>6</v>
      </c>
      <c r="AH1" s="3" t="s">
        <v>7</v>
      </c>
      <c r="AI1" s="3" t="s">
        <v>8</v>
      </c>
      <c r="AJ1" s="3" t="s">
        <v>9</v>
      </c>
      <c r="AK1" s="3" t="s">
        <v>10</v>
      </c>
      <c r="AL1" s="3" t="s">
        <v>11</v>
      </c>
      <c r="AM1" s="3" t="s">
        <v>12</v>
      </c>
      <c r="AN1" s="3" t="s">
        <v>13</v>
      </c>
      <c r="AO1" s="3" t="s">
        <v>14</v>
      </c>
      <c r="AP1" s="3" t="s">
        <v>15</v>
      </c>
      <c r="AQ1" s="3" t="s">
        <v>16</v>
      </c>
      <c r="AR1" s="3" t="s">
        <v>17</v>
      </c>
      <c r="AS1" s="3" t="s">
        <v>18</v>
      </c>
      <c r="AT1" s="3" t="s">
        <v>19</v>
      </c>
      <c r="AU1" s="3" t="s">
        <v>20</v>
      </c>
      <c r="AV1" s="3" t="s">
        <v>21</v>
      </c>
      <c r="AW1" s="3" t="s">
        <v>22</v>
      </c>
      <c r="AX1" s="3" t="s">
        <v>23</v>
      </c>
      <c r="AY1" s="3" t="s">
        <v>24</v>
      </c>
      <c r="AZ1" s="3" t="s">
        <v>25</v>
      </c>
      <c r="BA1" s="3" t="s">
        <v>26</v>
      </c>
      <c r="BB1" s="3" t="s">
        <v>27</v>
      </c>
      <c r="BC1" s="48" t="s">
        <v>356</v>
      </c>
      <c r="BD1" s="3" t="s">
        <v>28</v>
      </c>
      <c r="BE1" s="3" t="s">
        <v>29</v>
      </c>
      <c r="BF1" s="3" t="s">
        <v>30</v>
      </c>
      <c r="BG1" s="3" t="s">
        <v>31</v>
      </c>
      <c r="BH1" s="3" t="s">
        <v>32</v>
      </c>
      <c r="BI1" s="3" t="s">
        <v>33</v>
      </c>
      <c r="BJ1" s="3" t="s">
        <v>34</v>
      </c>
      <c r="BK1" s="3" t="s">
        <v>35</v>
      </c>
      <c r="BL1" s="3" t="s">
        <v>36</v>
      </c>
      <c r="BM1" s="3" t="s">
        <v>37</v>
      </c>
      <c r="BN1" s="3" t="s">
        <v>38</v>
      </c>
      <c r="BO1" s="3" t="s">
        <v>39</v>
      </c>
      <c r="BP1" s="3" t="s">
        <v>40</v>
      </c>
      <c r="BQ1" s="3" t="s">
        <v>41</v>
      </c>
      <c r="BR1" s="3" t="s">
        <v>42</v>
      </c>
      <c r="BS1" s="3" t="s">
        <v>43</v>
      </c>
      <c r="BT1" s="3" t="s">
        <v>44</v>
      </c>
      <c r="BU1" s="3" t="s">
        <v>45</v>
      </c>
      <c r="BV1" s="3" t="s">
        <v>46</v>
      </c>
      <c r="BW1" s="3" t="s">
        <v>47</v>
      </c>
      <c r="BX1" s="3" t="s">
        <v>48</v>
      </c>
      <c r="BY1" s="3" t="s">
        <v>49</v>
      </c>
      <c r="BZ1" s="3" t="s">
        <v>50</v>
      </c>
      <c r="CA1" s="3" t="s">
        <v>51</v>
      </c>
      <c r="CB1" s="3" t="s">
        <v>52</v>
      </c>
      <c r="CC1" s="3" t="s">
        <v>53</v>
      </c>
      <c r="CD1" s="3" t="s">
        <v>54</v>
      </c>
      <c r="CE1" s="3" t="s">
        <v>55</v>
      </c>
      <c r="CF1" s="3" t="s">
        <v>56</v>
      </c>
      <c r="CG1" s="3" t="s">
        <v>57</v>
      </c>
      <c r="CH1" s="3" t="s">
        <v>58</v>
      </c>
      <c r="CI1" s="3" t="s">
        <v>59</v>
      </c>
      <c r="CJ1" s="3" t="s">
        <v>60</v>
      </c>
      <c r="CK1" s="3" t="s">
        <v>61</v>
      </c>
      <c r="CL1" s="3" t="s">
        <v>62</v>
      </c>
      <c r="CM1" s="3" t="s">
        <v>63</v>
      </c>
      <c r="CN1" s="48" t="s">
        <v>357</v>
      </c>
      <c r="CO1" s="3" t="s">
        <v>64</v>
      </c>
      <c r="CP1" s="3" t="s">
        <v>65</v>
      </c>
      <c r="CQ1" s="3" t="s">
        <v>66</v>
      </c>
      <c r="CR1" s="3" t="s">
        <v>67</v>
      </c>
      <c r="CS1" s="3" t="s">
        <v>68</v>
      </c>
      <c r="CT1" s="3" t="s">
        <v>69</v>
      </c>
      <c r="CU1" s="3" t="s">
        <v>70</v>
      </c>
      <c r="CV1" s="3" t="s">
        <v>71</v>
      </c>
      <c r="CW1" s="3" t="s">
        <v>72</v>
      </c>
      <c r="CX1" s="3" t="s">
        <v>73</v>
      </c>
      <c r="CY1" s="3" t="s">
        <v>74</v>
      </c>
      <c r="CZ1" s="3" t="s">
        <v>75</v>
      </c>
      <c r="DA1" s="3" t="s">
        <v>76</v>
      </c>
      <c r="DB1" s="3" t="s">
        <v>77</v>
      </c>
      <c r="DC1" s="3" t="s">
        <v>78</v>
      </c>
      <c r="DD1" s="3" t="s">
        <v>79</v>
      </c>
      <c r="DE1" s="3" t="s">
        <v>80</v>
      </c>
      <c r="DF1" s="3" t="s">
        <v>81</v>
      </c>
      <c r="DG1" s="3" t="s">
        <v>82</v>
      </c>
      <c r="DH1" s="3" t="s">
        <v>83</v>
      </c>
      <c r="DI1" s="3" t="s">
        <v>84</v>
      </c>
      <c r="DJ1" s="3" t="s">
        <v>85</v>
      </c>
      <c r="DK1" s="3" t="s">
        <v>86</v>
      </c>
      <c r="DL1" s="3" t="s">
        <v>87</v>
      </c>
      <c r="DM1" s="3" t="s">
        <v>88</v>
      </c>
      <c r="DN1" s="3" t="s">
        <v>89</v>
      </c>
      <c r="DO1" s="3" t="s">
        <v>90</v>
      </c>
      <c r="DP1" s="3" t="s">
        <v>91</v>
      </c>
      <c r="DQ1" s="3" t="s">
        <v>92</v>
      </c>
      <c r="DR1" s="3" t="s">
        <v>93</v>
      </c>
      <c r="DS1" s="3" t="s">
        <v>94</v>
      </c>
      <c r="DT1" s="3" t="s">
        <v>95</v>
      </c>
      <c r="DU1" s="3" t="s">
        <v>96</v>
      </c>
      <c r="DV1" s="3" t="s">
        <v>97</v>
      </c>
      <c r="DW1" s="3" t="s">
        <v>98</v>
      </c>
      <c r="DX1" s="3" t="s">
        <v>99</v>
      </c>
      <c r="DY1" s="3"/>
    </row>
    <row r="2" spans="1:129" s="4" customFormat="1" ht="47.25" customHeight="1" hidden="1">
      <c r="A2" s="2"/>
      <c r="B2" s="2"/>
      <c r="C2" s="3"/>
      <c r="D2" s="3"/>
      <c r="E2" s="3"/>
      <c r="F2" s="39"/>
      <c r="G2" s="3"/>
      <c r="H2" s="3"/>
      <c r="I2" s="3"/>
      <c r="J2" s="39"/>
      <c r="K2" s="3"/>
      <c r="L2" s="3"/>
      <c r="M2" s="3" t="str">
        <f>LEFT(RIGHT(M1,18),4)</f>
        <v>0500</v>
      </c>
      <c r="N2" s="3"/>
      <c r="O2" s="3"/>
      <c r="P2" s="39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</row>
    <row r="3" spans="1:129" s="4" customFormat="1" ht="15">
      <c r="A3" s="19"/>
      <c r="B3" s="20" t="s">
        <v>100</v>
      </c>
      <c r="C3" s="8"/>
      <c r="D3" s="9"/>
      <c r="E3" s="9"/>
      <c r="F3" s="9"/>
      <c r="G3" s="10"/>
      <c r="H3" s="9" t="s">
        <v>102</v>
      </c>
      <c r="I3" s="9"/>
      <c r="J3" s="9"/>
      <c r="K3" s="9"/>
      <c r="L3" s="9"/>
      <c r="M3" s="3"/>
      <c r="N3" s="11"/>
      <c r="O3" s="12" t="s">
        <v>109</v>
      </c>
      <c r="P3" s="12"/>
      <c r="Q3"/>
      <c r="R3"/>
      <c r="S3"/>
      <c r="T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10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</row>
    <row r="4" spans="1:130" s="4" customFormat="1" ht="39" customHeight="1">
      <c r="A4" s="19"/>
      <c r="B4" s="21" t="s">
        <v>101</v>
      </c>
      <c r="C4" s="13"/>
      <c r="D4" s="13"/>
      <c r="E4" s="13"/>
      <c r="F4" s="13"/>
      <c r="G4" s="100" t="str">
        <f>C8&amp;" "&amp;"Самарской области"</f>
        <v>Городской округ Чапаевск Самарской области</v>
      </c>
      <c r="H4" s="101"/>
      <c r="I4" s="101"/>
      <c r="J4" s="43"/>
      <c r="K4" s="13"/>
      <c r="L4" s="13"/>
      <c r="M4" s="36"/>
      <c r="N4" s="11" t="str">
        <f>"Глава"&amp;" "&amp;C8</f>
        <v>Глава Городской округ Чапаевск</v>
      </c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10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6"/>
      <c r="CI4" s="36"/>
      <c r="CJ4" s="36"/>
      <c r="CK4" s="36"/>
      <c r="CL4" s="36"/>
      <c r="CM4" s="36"/>
      <c r="CN4" s="36"/>
      <c r="CO4" s="36"/>
      <c r="CP4" s="36"/>
      <c r="CQ4" s="36"/>
      <c r="CR4" s="36"/>
      <c r="CS4" s="36"/>
      <c r="CT4" s="36"/>
      <c r="CU4" s="36"/>
      <c r="CV4" s="36"/>
      <c r="CW4" s="36"/>
      <c r="CX4" s="36"/>
      <c r="CY4" s="36"/>
      <c r="CZ4" s="36"/>
      <c r="DA4" s="36"/>
      <c r="DB4" s="36"/>
      <c r="DC4" s="36"/>
      <c r="DD4" s="36"/>
      <c r="DE4" s="36"/>
      <c r="DF4" s="36"/>
      <c r="DG4" s="36"/>
      <c r="DH4" s="36"/>
      <c r="DI4" s="36"/>
      <c r="DJ4" s="36"/>
      <c r="DK4" s="36"/>
      <c r="DL4" s="36"/>
      <c r="DM4" s="36"/>
      <c r="DN4" s="36"/>
      <c r="DO4" s="36"/>
      <c r="DP4" s="36"/>
      <c r="DQ4" s="36"/>
      <c r="DR4" s="36"/>
      <c r="DS4" s="36"/>
      <c r="DT4" s="36"/>
      <c r="DU4" s="36"/>
      <c r="DV4" s="36"/>
      <c r="DW4" s="36"/>
      <c r="DX4" s="36"/>
      <c r="DY4" s="36"/>
      <c r="DZ4" s="36"/>
    </row>
    <row r="5" spans="1:129" s="4" customFormat="1" ht="18" customHeight="1">
      <c r="A5" s="19"/>
      <c r="B5" s="21" t="s">
        <v>375</v>
      </c>
      <c r="C5" s="8"/>
      <c r="D5" s="15"/>
      <c r="E5" s="15"/>
      <c r="F5" s="15"/>
      <c r="G5" s="102" t="s">
        <v>369</v>
      </c>
      <c r="H5" s="103"/>
      <c r="I5" s="103"/>
      <c r="J5" s="42"/>
      <c r="K5" s="11"/>
      <c r="L5" s="11"/>
      <c r="M5" s="3"/>
      <c r="N5" s="11"/>
      <c r="O5" s="14" t="s">
        <v>370</v>
      </c>
      <c r="P5" s="14"/>
      <c r="Q5"/>
      <c r="R5"/>
      <c r="S5"/>
      <c r="T5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10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</row>
    <row r="6" spans="1:129" s="4" customFormat="1" ht="15">
      <c r="A6" s="19"/>
      <c r="B6" s="21"/>
      <c r="C6" s="8"/>
      <c r="D6" s="10"/>
      <c r="E6" s="10"/>
      <c r="F6" s="40"/>
      <c r="G6" s="10"/>
      <c r="H6" s="10"/>
      <c r="I6" s="10"/>
      <c r="J6" s="40"/>
      <c r="K6" s="8"/>
      <c r="L6" s="8"/>
      <c r="M6" s="3"/>
      <c r="N6" s="8"/>
      <c r="O6" s="8"/>
      <c r="P6" s="44"/>
      <c r="Q6"/>
      <c r="R6"/>
      <c r="S6"/>
      <c r="T6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8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</row>
    <row r="7" spans="1:129" s="4" customFormat="1" ht="15" customHeight="1">
      <c r="A7" s="2"/>
      <c r="B7" s="22" t="s">
        <v>371</v>
      </c>
      <c r="C7" s="16">
        <f>G13</f>
        <v>73572</v>
      </c>
      <c r="D7" s="17"/>
      <c r="E7" s="17"/>
      <c r="F7" s="17"/>
      <c r="G7" s="104" t="s">
        <v>103</v>
      </c>
      <c r="H7" s="101"/>
      <c r="I7" s="101"/>
      <c r="J7" s="101"/>
      <c r="K7" s="101"/>
      <c r="L7" s="17"/>
      <c r="M7" s="18">
        <f>C7/3178577%</f>
        <v>2.3146206620132217</v>
      </c>
      <c r="N7" s="10"/>
      <c r="O7" s="10"/>
      <c r="P7" s="40"/>
      <c r="Q7"/>
      <c r="R7"/>
      <c r="S7"/>
      <c r="T7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18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</row>
    <row r="8" spans="1:129" s="7" customFormat="1" ht="89.25" hidden="1">
      <c r="A8" s="5" t="s">
        <v>112</v>
      </c>
      <c r="B8" s="5" t="s">
        <v>114</v>
      </c>
      <c r="C8" s="6" t="s">
        <v>376</v>
      </c>
      <c r="D8" s="6"/>
      <c r="E8" s="6"/>
      <c r="F8" s="41"/>
      <c r="G8" s="6" t="s">
        <v>286</v>
      </c>
      <c r="H8" s="6"/>
      <c r="I8" s="6"/>
      <c r="J8" s="41"/>
      <c r="K8" s="6" t="s">
        <v>116</v>
      </c>
      <c r="L8" s="6"/>
      <c r="M8" s="6" t="s">
        <v>322</v>
      </c>
      <c r="N8" s="6"/>
      <c r="O8" s="6"/>
      <c r="P8" s="41"/>
      <c r="Q8" s="6"/>
      <c r="R8" s="6" t="s">
        <v>246</v>
      </c>
      <c r="S8" s="6" t="s">
        <v>247</v>
      </c>
      <c r="T8" s="6" t="s">
        <v>248</v>
      </c>
      <c r="U8" s="6" t="s">
        <v>249</v>
      </c>
      <c r="V8" s="6" t="s">
        <v>250</v>
      </c>
      <c r="W8" s="6" t="s">
        <v>251</v>
      </c>
      <c r="X8" s="6" t="s">
        <v>252</v>
      </c>
      <c r="Y8" s="6" t="s">
        <v>253</v>
      </c>
      <c r="Z8" s="6" t="s">
        <v>254</v>
      </c>
      <c r="AA8" s="6" t="s">
        <v>255</v>
      </c>
      <c r="AB8" s="6" t="s">
        <v>256</v>
      </c>
      <c r="AC8" s="6" t="s">
        <v>257</v>
      </c>
      <c r="AD8" s="6" t="s">
        <v>258</v>
      </c>
      <c r="AE8" s="6" t="s">
        <v>259</v>
      </c>
      <c r="AF8" s="6" t="s">
        <v>260</v>
      </c>
      <c r="AG8" s="6" t="s">
        <v>261</v>
      </c>
      <c r="AH8" s="6" t="s">
        <v>262</v>
      </c>
      <c r="AI8" s="6" t="s">
        <v>263</v>
      </c>
      <c r="AJ8" s="6" t="s">
        <v>264</v>
      </c>
      <c r="AK8" s="6" t="s">
        <v>265</v>
      </c>
      <c r="AL8" s="6" t="s">
        <v>266</v>
      </c>
      <c r="AM8" s="6" t="s">
        <v>267</v>
      </c>
      <c r="AN8" s="6" t="s">
        <v>268</v>
      </c>
      <c r="AO8" s="6" t="s">
        <v>269</v>
      </c>
      <c r="AP8" s="6" t="s">
        <v>270</v>
      </c>
      <c r="AQ8" s="6" t="s">
        <v>271</v>
      </c>
      <c r="AR8" s="6" t="s">
        <v>272</v>
      </c>
      <c r="AS8" s="6" t="s">
        <v>273</v>
      </c>
      <c r="AT8" s="6" t="s">
        <v>274</v>
      </c>
      <c r="AU8" s="6" t="s">
        <v>275</v>
      </c>
      <c r="AV8" s="6" t="s">
        <v>276</v>
      </c>
      <c r="AW8" s="6" t="s">
        <v>277</v>
      </c>
      <c r="AX8" s="6" t="s">
        <v>278</v>
      </c>
      <c r="AY8" s="6" t="s">
        <v>279</v>
      </c>
      <c r="AZ8" s="6" t="s">
        <v>280</v>
      </c>
      <c r="BA8" s="6" t="s">
        <v>281</v>
      </c>
      <c r="BB8" s="6" t="s">
        <v>282</v>
      </c>
      <c r="BC8" s="6" t="s">
        <v>244</v>
      </c>
      <c r="BD8" s="6" t="s">
        <v>283</v>
      </c>
      <c r="BE8" s="6" t="s">
        <v>284</v>
      </c>
      <c r="BF8" s="6" t="s">
        <v>285</v>
      </c>
      <c r="BG8" s="6" t="s">
        <v>286</v>
      </c>
      <c r="BH8" s="6" t="s">
        <v>287</v>
      </c>
      <c r="BI8" s="6" t="s">
        <v>288</v>
      </c>
      <c r="BJ8" s="6" t="s">
        <v>289</v>
      </c>
      <c r="BK8" s="6" t="s">
        <v>290</v>
      </c>
      <c r="BL8" s="6" t="s">
        <v>291</v>
      </c>
      <c r="BM8" s="6" t="s">
        <v>292</v>
      </c>
      <c r="BN8" s="6" t="s">
        <v>293</v>
      </c>
      <c r="BO8" s="6" t="s">
        <v>294</v>
      </c>
      <c r="BP8" s="6" t="s">
        <v>295</v>
      </c>
      <c r="BQ8" s="6" t="s">
        <v>296</v>
      </c>
      <c r="BR8" s="6" t="s">
        <v>297</v>
      </c>
      <c r="BS8" s="6" t="s">
        <v>298</v>
      </c>
      <c r="BT8" s="6" t="s">
        <v>299</v>
      </c>
      <c r="BU8" s="6" t="s">
        <v>300</v>
      </c>
      <c r="BV8" s="6" t="s">
        <v>301</v>
      </c>
      <c r="BW8" s="6" t="s">
        <v>302</v>
      </c>
      <c r="BX8" s="6" t="s">
        <v>303</v>
      </c>
      <c r="BY8" s="6" t="s">
        <v>304</v>
      </c>
      <c r="BZ8" s="6" t="s">
        <v>305</v>
      </c>
      <c r="CA8" s="6" t="s">
        <v>306</v>
      </c>
      <c r="CB8" s="6" t="s">
        <v>307</v>
      </c>
      <c r="CC8" s="6" t="s">
        <v>308</v>
      </c>
      <c r="CD8" s="6" t="s">
        <v>309</v>
      </c>
      <c r="CE8" s="6" t="s">
        <v>310</v>
      </c>
      <c r="CF8" s="6" t="s">
        <v>311</v>
      </c>
      <c r="CG8" s="6" t="s">
        <v>312</v>
      </c>
      <c r="CH8" s="6" t="s">
        <v>313</v>
      </c>
      <c r="CI8" s="6" t="s">
        <v>314</v>
      </c>
      <c r="CJ8" s="6" t="s">
        <v>315</v>
      </c>
      <c r="CK8" s="6" t="s">
        <v>316</v>
      </c>
      <c r="CL8" s="6" t="s">
        <v>317</v>
      </c>
      <c r="CM8" s="6" t="s">
        <v>318</v>
      </c>
      <c r="CN8" s="6" t="s">
        <v>245</v>
      </c>
      <c r="CO8" s="6" t="s">
        <v>319</v>
      </c>
      <c r="CP8" s="6" t="s">
        <v>320</v>
      </c>
      <c r="CQ8" s="6" t="s">
        <v>321</v>
      </c>
      <c r="CR8" s="6" t="s">
        <v>322</v>
      </c>
      <c r="CS8" s="6" t="s">
        <v>323</v>
      </c>
      <c r="CT8" s="6" t="s">
        <v>324</v>
      </c>
      <c r="CU8" s="6" t="s">
        <v>325</v>
      </c>
      <c r="CV8" s="6" t="s">
        <v>326</v>
      </c>
      <c r="CW8" s="6" t="s">
        <v>327</v>
      </c>
      <c r="CX8" s="6" t="s">
        <v>328</v>
      </c>
      <c r="CY8" s="6" t="s">
        <v>329</v>
      </c>
      <c r="CZ8" s="6" t="s">
        <v>330</v>
      </c>
      <c r="DA8" s="6" t="s">
        <v>331</v>
      </c>
      <c r="DB8" s="6" t="s">
        <v>332</v>
      </c>
      <c r="DC8" s="6" t="s">
        <v>333</v>
      </c>
      <c r="DD8" s="6" t="s">
        <v>334</v>
      </c>
      <c r="DE8" s="6" t="s">
        <v>335</v>
      </c>
      <c r="DF8" s="6" t="s">
        <v>336</v>
      </c>
      <c r="DG8" s="6" t="s">
        <v>337</v>
      </c>
      <c r="DH8" s="6" t="s">
        <v>338</v>
      </c>
      <c r="DI8" s="6" t="s">
        <v>339</v>
      </c>
      <c r="DJ8" s="6" t="s">
        <v>340</v>
      </c>
      <c r="DK8" s="6" t="s">
        <v>341</v>
      </c>
      <c r="DL8" s="6" t="s">
        <v>342</v>
      </c>
      <c r="DM8" s="6" t="s">
        <v>343</v>
      </c>
      <c r="DN8" s="6" t="s">
        <v>344</v>
      </c>
      <c r="DO8" s="6" t="s">
        <v>345</v>
      </c>
      <c r="DP8" s="6" t="s">
        <v>346</v>
      </c>
      <c r="DQ8" s="6" t="s">
        <v>347</v>
      </c>
      <c r="DR8" s="6" t="s">
        <v>348</v>
      </c>
      <c r="DS8" s="6" t="s">
        <v>349</v>
      </c>
      <c r="DT8" s="6" t="s">
        <v>350</v>
      </c>
      <c r="DU8" s="6" t="s">
        <v>351</v>
      </c>
      <c r="DV8" s="6" t="s">
        <v>352</v>
      </c>
      <c r="DW8" s="6" t="s">
        <v>353</v>
      </c>
      <c r="DX8" s="6" t="s">
        <v>354</v>
      </c>
      <c r="DY8" s="6"/>
    </row>
    <row r="9" spans="1:130" s="7" customFormat="1" ht="12.75" customHeight="1">
      <c r="A9" s="23"/>
      <c r="B9" s="24"/>
      <c r="C9" s="99" t="s">
        <v>105</v>
      </c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  <c r="AC9" s="99"/>
      <c r="AD9" s="99"/>
      <c r="AE9" s="99"/>
      <c r="AF9" s="99"/>
      <c r="AG9" s="99"/>
      <c r="AH9" s="99"/>
      <c r="AI9" s="99"/>
      <c r="AJ9" s="99"/>
      <c r="AK9" s="99"/>
      <c r="AL9" s="99"/>
      <c r="AM9" s="99"/>
      <c r="AN9" s="99"/>
      <c r="AO9" s="99"/>
      <c r="AP9" s="99"/>
      <c r="AQ9" s="99"/>
      <c r="AR9" s="99"/>
      <c r="AS9" s="99"/>
      <c r="AT9" s="99"/>
      <c r="AU9" s="99"/>
      <c r="AV9" s="99"/>
      <c r="AW9" s="99"/>
      <c r="AX9" s="99"/>
      <c r="AY9" s="99"/>
      <c r="AZ9" s="99"/>
      <c r="BA9" s="99"/>
      <c r="BB9" s="99"/>
      <c r="BC9" s="99"/>
      <c r="BD9" s="99"/>
      <c r="BE9" s="99"/>
      <c r="BF9" s="99"/>
      <c r="BG9" s="99"/>
      <c r="BH9" s="99"/>
      <c r="BI9" s="99"/>
      <c r="BJ9" s="99"/>
      <c r="BK9" s="99"/>
      <c r="BL9" s="99"/>
      <c r="BM9" s="99"/>
      <c r="BN9" s="99"/>
      <c r="BO9" s="99"/>
      <c r="BP9" s="99"/>
      <c r="BQ9" s="99"/>
      <c r="BR9" s="99"/>
      <c r="BS9" s="99"/>
      <c r="BT9" s="99"/>
      <c r="BU9" s="99"/>
      <c r="BV9" s="99"/>
      <c r="BW9" s="99"/>
      <c r="BX9" s="99"/>
      <c r="BY9" s="99"/>
      <c r="BZ9" s="99"/>
      <c r="CA9" s="99"/>
      <c r="CB9" s="99"/>
      <c r="CC9" s="99"/>
      <c r="CD9" s="99"/>
      <c r="CE9" s="99"/>
      <c r="CF9" s="99"/>
      <c r="CG9" s="99"/>
      <c r="CH9" s="99"/>
      <c r="CI9" s="99"/>
      <c r="CJ9" s="99"/>
      <c r="CK9" s="99"/>
      <c r="CL9" s="99"/>
      <c r="CM9" s="99"/>
      <c r="CN9" s="99"/>
      <c r="CO9" s="99"/>
      <c r="CP9" s="99"/>
      <c r="CQ9" s="99"/>
      <c r="CR9" s="99"/>
      <c r="CS9" s="99"/>
      <c r="CT9" s="99"/>
      <c r="CU9" s="99"/>
      <c r="CV9" s="99"/>
      <c r="CW9" s="99"/>
      <c r="CX9" s="99"/>
      <c r="CY9" s="99"/>
      <c r="CZ9" s="99"/>
      <c r="DA9" s="99"/>
      <c r="DB9" s="99"/>
      <c r="DC9" s="99"/>
      <c r="DD9" s="99"/>
      <c r="DE9" s="99"/>
      <c r="DF9" s="99"/>
      <c r="DG9" s="99"/>
      <c r="DH9" s="99"/>
      <c r="DI9" s="99"/>
      <c r="DJ9" s="99"/>
      <c r="DK9" s="99"/>
      <c r="DL9" s="99"/>
      <c r="DM9" s="99"/>
      <c r="DN9" s="99"/>
      <c r="DO9" s="99"/>
      <c r="DP9" s="99"/>
      <c r="DQ9" s="99"/>
      <c r="DR9" s="99"/>
      <c r="DS9" s="99"/>
      <c r="DT9" s="99"/>
      <c r="DU9" s="99"/>
      <c r="DV9" s="99"/>
      <c r="DW9" s="99"/>
      <c r="DX9" s="99"/>
      <c r="DY9" s="99"/>
      <c r="DZ9" s="93" t="s">
        <v>372</v>
      </c>
    </row>
    <row r="10" spans="1:130" s="7" customFormat="1" ht="12.75" customHeight="1">
      <c r="A10" s="25"/>
      <c r="B10" s="26"/>
      <c r="C10" s="91" t="s">
        <v>110</v>
      </c>
      <c r="D10" s="91"/>
      <c r="E10" s="91"/>
      <c r="F10" s="91"/>
      <c r="G10" s="92" t="s">
        <v>366</v>
      </c>
      <c r="H10" s="92"/>
      <c r="I10" s="92"/>
      <c r="J10" s="92"/>
      <c r="K10" s="96" t="s">
        <v>374</v>
      </c>
      <c r="L10" s="97" t="s">
        <v>243</v>
      </c>
      <c r="M10" s="105" t="s">
        <v>367</v>
      </c>
      <c r="N10" s="105"/>
      <c r="O10" s="105"/>
      <c r="P10" s="105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1"/>
      <c r="BD10" s="50"/>
      <c r="BE10" s="50"/>
      <c r="BF10" s="50"/>
      <c r="BG10" s="50"/>
      <c r="BH10" s="50"/>
      <c r="BI10" s="50"/>
      <c r="BJ10" s="50"/>
      <c r="BK10" s="50"/>
      <c r="BL10" s="50"/>
      <c r="BM10" s="50"/>
      <c r="BN10" s="50"/>
      <c r="BO10" s="50"/>
      <c r="BP10" s="50"/>
      <c r="BQ10" s="50"/>
      <c r="BR10" s="50"/>
      <c r="BS10" s="50"/>
      <c r="BT10" s="50"/>
      <c r="BU10" s="50"/>
      <c r="BV10" s="50"/>
      <c r="BW10" s="50"/>
      <c r="BX10" s="50"/>
      <c r="BY10" s="50"/>
      <c r="BZ10" s="50"/>
      <c r="CA10" s="50"/>
      <c r="CB10" s="50"/>
      <c r="CC10" s="50"/>
      <c r="CD10" s="50"/>
      <c r="CE10" s="50"/>
      <c r="CF10" s="50"/>
      <c r="CG10" s="50"/>
      <c r="CH10" s="50"/>
      <c r="CI10" s="50"/>
      <c r="CJ10" s="50"/>
      <c r="CK10" s="50"/>
      <c r="CL10" s="50"/>
      <c r="CM10" s="50"/>
      <c r="CN10" s="50"/>
      <c r="CO10" s="50"/>
      <c r="CP10" s="50"/>
      <c r="CQ10" s="50"/>
      <c r="CR10" s="50"/>
      <c r="CS10" s="50"/>
      <c r="CT10" s="50"/>
      <c r="CU10" s="50"/>
      <c r="CV10" s="50"/>
      <c r="CW10" s="50"/>
      <c r="CX10" s="50"/>
      <c r="CY10" s="50"/>
      <c r="CZ10" s="50"/>
      <c r="DA10" s="50"/>
      <c r="DB10" s="50"/>
      <c r="DC10" s="50"/>
      <c r="DD10" s="50"/>
      <c r="DE10" s="50"/>
      <c r="DF10" s="50"/>
      <c r="DG10" s="50"/>
      <c r="DH10" s="50"/>
      <c r="DI10" s="50"/>
      <c r="DJ10" s="50"/>
      <c r="DK10" s="50"/>
      <c r="DL10" s="50"/>
      <c r="DM10" s="50"/>
      <c r="DN10" s="50"/>
      <c r="DO10" s="50"/>
      <c r="DP10" s="50"/>
      <c r="DQ10" s="50"/>
      <c r="DR10" s="50"/>
      <c r="DS10" s="50"/>
      <c r="DT10" s="50"/>
      <c r="DU10" s="50"/>
      <c r="DV10" s="50"/>
      <c r="DW10" s="50"/>
      <c r="DX10" s="50"/>
      <c r="DY10" s="96" t="s">
        <v>373</v>
      </c>
      <c r="DZ10" s="94"/>
    </row>
    <row r="11" spans="1:130" s="7" customFormat="1" ht="67.5">
      <c r="A11" s="27"/>
      <c r="B11" s="28"/>
      <c r="C11" s="56" t="s">
        <v>106</v>
      </c>
      <c r="D11" s="63" t="s">
        <v>107</v>
      </c>
      <c r="E11" s="72" t="s">
        <v>108</v>
      </c>
      <c r="F11" s="72" t="s">
        <v>238</v>
      </c>
      <c r="G11" s="59" t="s">
        <v>106</v>
      </c>
      <c r="H11" s="67" t="s">
        <v>107</v>
      </c>
      <c r="I11" s="71" t="s">
        <v>108</v>
      </c>
      <c r="J11" s="72" t="s">
        <v>238</v>
      </c>
      <c r="K11" s="96"/>
      <c r="L11" s="98"/>
      <c r="M11" s="61" t="s">
        <v>106</v>
      </c>
      <c r="N11" s="69" t="s">
        <v>107</v>
      </c>
      <c r="O11" s="75" t="s">
        <v>108</v>
      </c>
      <c r="P11" s="72" t="s">
        <v>238</v>
      </c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V11" s="50"/>
      <c r="AW11" s="50"/>
      <c r="AX11" s="50"/>
      <c r="AY11" s="50"/>
      <c r="AZ11" s="50"/>
      <c r="BA11" s="50"/>
      <c r="BB11" s="50"/>
      <c r="BC11" s="51"/>
      <c r="BD11" s="50"/>
      <c r="BE11" s="50"/>
      <c r="BF11" s="50"/>
      <c r="BG11" s="50"/>
      <c r="BH11" s="50"/>
      <c r="BI11" s="50"/>
      <c r="BJ11" s="50"/>
      <c r="BK11" s="50"/>
      <c r="BL11" s="50"/>
      <c r="BM11" s="50"/>
      <c r="BN11" s="50"/>
      <c r="BO11" s="50"/>
      <c r="BP11" s="50"/>
      <c r="BQ11" s="50"/>
      <c r="BR11" s="50"/>
      <c r="BS11" s="50"/>
      <c r="BT11" s="50"/>
      <c r="BU11" s="50"/>
      <c r="BV11" s="50"/>
      <c r="BW11" s="50"/>
      <c r="BX11" s="50"/>
      <c r="BY11" s="50"/>
      <c r="BZ11" s="50"/>
      <c r="CA11" s="50"/>
      <c r="CB11" s="50"/>
      <c r="CC11" s="50"/>
      <c r="CD11" s="50"/>
      <c r="CE11" s="50"/>
      <c r="CF11" s="50"/>
      <c r="CG11" s="50"/>
      <c r="CH11" s="50"/>
      <c r="CI11" s="50"/>
      <c r="CJ11" s="50"/>
      <c r="CK11" s="50"/>
      <c r="CL11" s="50"/>
      <c r="CM11" s="50"/>
      <c r="CN11" s="50"/>
      <c r="CO11" s="50"/>
      <c r="CP11" s="50"/>
      <c r="CQ11" s="50"/>
      <c r="CR11" s="50"/>
      <c r="CS11" s="50"/>
      <c r="CT11" s="50"/>
      <c r="CU11" s="50"/>
      <c r="CV11" s="50"/>
      <c r="CW11" s="50"/>
      <c r="CX11" s="50"/>
      <c r="CY11" s="50"/>
      <c r="CZ11" s="50"/>
      <c r="DA11" s="50"/>
      <c r="DB11" s="50"/>
      <c r="DC11" s="50"/>
      <c r="DD11" s="50"/>
      <c r="DE11" s="50"/>
      <c r="DF11" s="50"/>
      <c r="DG11" s="50"/>
      <c r="DH11" s="50"/>
      <c r="DI11" s="50"/>
      <c r="DJ11" s="50"/>
      <c r="DK11" s="50"/>
      <c r="DL11" s="50"/>
      <c r="DM11" s="50"/>
      <c r="DN11" s="50"/>
      <c r="DO11" s="50"/>
      <c r="DP11" s="50"/>
      <c r="DQ11" s="50"/>
      <c r="DR11" s="50"/>
      <c r="DS11" s="50"/>
      <c r="DT11" s="50"/>
      <c r="DU11" s="50"/>
      <c r="DV11" s="50"/>
      <c r="DW11" s="50"/>
      <c r="DX11" s="50"/>
      <c r="DY11" s="96"/>
      <c r="DZ11" s="95"/>
    </row>
    <row r="12" spans="1:130" s="7" customFormat="1" ht="12.75">
      <c r="A12" s="29" t="s">
        <v>104</v>
      </c>
      <c r="B12" s="30" t="s">
        <v>104</v>
      </c>
      <c r="C12" s="57">
        <v>1</v>
      </c>
      <c r="D12" s="64">
        <v>2</v>
      </c>
      <c r="E12" s="54">
        <v>3</v>
      </c>
      <c r="F12" s="54">
        <v>4</v>
      </c>
      <c r="G12" s="60">
        <v>5</v>
      </c>
      <c r="H12" s="68">
        <v>6</v>
      </c>
      <c r="I12" s="73">
        <v>7</v>
      </c>
      <c r="J12" s="73">
        <v>8</v>
      </c>
      <c r="K12" s="49">
        <v>9</v>
      </c>
      <c r="L12" s="49">
        <v>10</v>
      </c>
      <c r="M12" s="62">
        <v>10</v>
      </c>
      <c r="N12" s="70">
        <v>11</v>
      </c>
      <c r="O12" s="76">
        <v>12</v>
      </c>
      <c r="P12" s="77">
        <v>13</v>
      </c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52">
        <v>14</v>
      </c>
      <c r="DZ12" s="35">
        <v>15</v>
      </c>
    </row>
    <row r="13" spans="1:130" ht="12.75" hidden="1">
      <c r="A13" s="31" t="s">
        <v>144</v>
      </c>
      <c r="B13" s="32" t="s">
        <v>145</v>
      </c>
      <c r="C13" s="78">
        <v>73038</v>
      </c>
      <c r="D13" s="65"/>
      <c r="E13" s="55"/>
      <c r="F13" s="74"/>
      <c r="G13" s="78">
        <v>73572</v>
      </c>
      <c r="H13" s="66" t="e">
        <f>IF(LEFT($BC$2,2)&lt;"10",RANK(G14,CN14:CW14),RANK(G14,CX14:DX14))</f>
        <v>#N/A</v>
      </c>
      <c r="I13" s="55">
        <f>IF(LEFT($BC$2)&lt;"10",MAXA(CN14:CW14),MAXA(CX14:DX14))</f>
        <v>572.38</v>
      </c>
      <c r="J13" s="74"/>
      <c r="K13" s="81">
        <f aca="true" t="shared" si="0" ref="K13:K23">ROUND(IF(C13&lt;&gt;"0",(G13/C13)*100-100),2)</f>
        <v>0.73</v>
      </c>
      <c r="L13" s="33"/>
      <c r="M13" s="78">
        <v>73572</v>
      </c>
      <c r="N13" s="65"/>
      <c r="O13" s="55"/>
      <c r="P13" s="74"/>
      <c r="Q13" s="33"/>
      <c r="R13" s="79">
        <v>1135468</v>
      </c>
      <c r="S13" s="79">
        <v>718030</v>
      </c>
      <c r="T13" s="79">
        <v>180595</v>
      </c>
      <c r="U13" s="79">
        <v>113559</v>
      </c>
      <c r="V13" s="81">
        <f aca="true" t="shared" si="1" ref="V13:V23">C13</f>
        <v>73038</v>
      </c>
      <c r="W13" s="79">
        <v>48548</v>
      </c>
      <c r="X13" s="79">
        <v>61543</v>
      </c>
      <c r="Y13" s="79">
        <v>26801</v>
      </c>
      <c r="Z13" s="79">
        <v>51051</v>
      </c>
      <c r="AA13" s="79">
        <v>29107</v>
      </c>
      <c r="AB13" s="79">
        <v>12398</v>
      </c>
      <c r="AC13" s="79">
        <v>41348</v>
      </c>
      <c r="AD13" s="79">
        <v>15453</v>
      </c>
      <c r="AE13" s="79">
        <v>20922</v>
      </c>
      <c r="AF13" s="79">
        <v>19263</v>
      </c>
      <c r="AG13" s="79">
        <v>24572</v>
      </c>
      <c r="AH13" s="79">
        <v>80381</v>
      </c>
      <c r="AI13" s="79">
        <v>10027</v>
      </c>
      <c r="AJ13" s="79">
        <v>14334</v>
      </c>
      <c r="AK13" s="79">
        <v>11659</v>
      </c>
      <c r="AL13" s="79">
        <v>29718</v>
      </c>
      <c r="AM13" s="79">
        <v>47980</v>
      </c>
      <c r="AN13" s="79">
        <v>15629</v>
      </c>
      <c r="AO13" s="79">
        <v>26054</v>
      </c>
      <c r="AP13" s="79">
        <v>18497</v>
      </c>
      <c r="AQ13" s="79">
        <v>52501</v>
      </c>
      <c r="AR13" s="79">
        <v>31743</v>
      </c>
      <c r="AS13" s="79">
        <v>17797</v>
      </c>
      <c r="AT13" s="79">
        <v>28712</v>
      </c>
      <c r="AU13" s="79">
        <v>23939</v>
      </c>
      <c r="AV13" s="79">
        <v>46252</v>
      </c>
      <c r="AW13" s="79">
        <v>49111</v>
      </c>
      <c r="AX13" s="79">
        <v>26017</v>
      </c>
      <c r="AY13" s="79">
        <v>15181</v>
      </c>
      <c r="AZ13" s="79">
        <v>17938</v>
      </c>
      <c r="BA13" s="79">
        <v>17753</v>
      </c>
      <c r="BB13" s="79">
        <v>21937</v>
      </c>
      <c r="BC13" s="79">
        <v>1134761</v>
      </c>
      <c r="BD13" s="79">
        <v>720346</v>
      </c>
      <c r="BE13" s="79">
        <v>179663</v>
      </c>
      <c r="BF13" s="79">
        <v>112739</v>
      </c>
      <c r="BG13" s="81">
        <f aca="true" t="shared" si="2" ref="BG13:BG23">G13</f>
        <v>73572</v>
      </c>
      <c r="BH13" s="79">
        <v>48012</v>
      </c>
      <c r="BI13" s="79">
        <v>62412</v>
      </c>
      <c r="BJ13" s="79">
        <v>27746</v>
      </c>
      <c r="BK13" s="79">
        <v>50886</v>
      </c>
      <c r="BL13" s="79">
        <v>29092</v>
      </c>
      <c r="BM13" s="79">
        <v>12227</v>
      </c>
      <c r="BN13" s="79">
        <v>40432</v>
      </c>
      <c r="BO13" s="79">
        <v>15631</v>
      </c>
      <c r="BP13" s="79">
        <v>20595</v>
      </c>
      <c r="BQ13" s="79">
        <v>18501</v>
      </c>
      <c r="BR13" s="79">
        <v>24685</v>
      </c>
      <c r="BS13" s="79">
        <v>81475</v>
      </c>
      <c r="BT13" s="79">
        <v>9964</v>
      </c>
      <c r="BU13" s="79">
        <v>14056</v>
      </c>
      <c r="BV13" s="79">
        <v>11511</v>
      </c>
      <c r="BW13" s="79">
        <v>29521</v>
      </c>
      <c r="BX13" s="79">
        <v>47964</v>
      </c>
      <c r="BY13" s="79">
        <v>15100</v>
      </c>
      <c r="BZ13" s="79">
        <v>25803</v>
      </c>
      <c r="CA13" s="79">
        <v>18298</v>
      </c>
      <c r="CB13" s="79">
        <v>51884</v>
      </c>
      <c r="CC13" s="79">
        <v>31662</v>
      </c>
      <c r="CD13" s="79">
        <v>17435</v>
      </c>
      <c r="CE13" s="79">
        <v>28090</v>
      </c>
      <c r="CF13" s="79">
        <v>23930</v>
      </c>
      <c r="CG13" s="79">
        <v>45113</v>
      </c>
      <c r="CH13" s="79">
        <v>51815</v>
      </c>
      <c r="CI13" s="79">
        <v>25703</v>
      </c>
      <c r="CJ13" s="79">
        <v>14865</v>
      </c>
      <c r="CK13" s="79">
        <v>17480</v>
      </c>
      <c r="CL13" s="79">
        <v>17302</v>
      </c>
      <c r="CM13" s="79">
        <v>21175</v>
      </c>
      <c r="CN13" s="79">
        <v>1134716</v>
      </c>
      <c r="CO13" s="79">
        <v>720346</v>
      </c>
      <c r="CP13" s="79">
        <v>179663</v>
      </c>
      <c r="CQ13" s="79">
        <v>112739</v>
      </c>
      <c r="CR13" s="81">
        <f aca="true" t="shared" si="3" ref="CR13:CR23">M13</f>
        <v>73572</v>
      </c>
      <c r="CS13" s="79">
        <v>48012</v>
      </c>
      <c r="CT13" s="79">
        <v>62412</v>
      </c>
      <c r="CU13" s="79">
        <v>27746</v>
      </c>
      <c r="CV13" s="79">
        <v>50886</v>
      </c>
      <c r="CW13" s="79">
        <v>29092</v>
      </c>
      <c r="CX13" s="79">
        <v>12227</v>
      </c>
      <c r="CY13" s="79">
        <v>40432</v>
      </c>
      <c r="CZ13" s="79">
        <v>15631</v>
      </c>
      <c r="DA13" s="79">
        <v>20595</v>
      </c>
      <c r="DB13" s="79">
        <v>18501</v>
      </c>
      <c r="DC13" s="79">
        <v>24685</v>
      </c>
      <c r="DD13" s="79">
        <v>81475</v>
      </c>
      <c r="DE13" s="79">
        <v>9964</v>
      </c>
      <c r="DF13" s="79">
        <v>14056</v>
      </c>
      <c r="DG13" s="79">
        <v>11511</v>
      </c>
      <c r="DH13" s="79">
        <v>29521</v>
      </c>
      <c r="DI13" s="79">
        <v>47964</v>
      </c>
      <c r="DJ13" s="79">
        <v>15100</v>
      </c>
      <c r="DK13" s="79">
        <v>25803</v>
      </c>
      <c r="DL13" s="79">
        <v>18298</v>
      </c>
      <c r="DM13" s="79">
        <v>51884</v>
      </c>
      <c r="DN13" s="79">
        <v>31662</v>
      </c>
      <c r="DO13" s="79">
        <v>17435</v>
      </c>
      <c r="DP13" s="79">
        <v>28090</v>
      </c>
      <c r="DQ13" s="79">
        <v>23930</v>
      </c>
      <c r="DR13" s="79">
        <v>45113</v>
      </c>
      <c r="DS13" s="79">
        <v>51815</v>
      </c>
      <c r="DT13" s="79">
        <v>25703</v>
      </c>
      <c r="DU13" s="79">
        <v>14865</v>
      </c>
      <c r="DV13" s="79">
        <v>17480</v>
      </c>
      <c r="DW13" s="79">
        <v>17302</v>
      </c>
      <c r="DX13" s="79">
        <v>21175</v>
      </c>
      <c r="DY13" s="33"/>
      <c r="DZ13" s="33"/>
    </row>
    <row r="14" spans="1:130" ht="17.25" customHeight="1">
      <c r="A14" s="31" t="s">
        <v>148</v>
      </c>
      <c r="B14" s="32" t="s">
        <v>149</v>
      </c>
      <c r="C14" s="78">
        <v>97.52</v>
      </c>
      <c r="D14" s="66">
        <f aca="true" t="shared" si="4" ref="D14:D19">IF(LEFT($M$2,2)&lt;"11",RANK(C14,R14:AA14),RANK(C14,AB14:BB14))</f>
        <v>10</v>
      </c>
      <c r="E14" s="55">
        <f>IF(LEFT($M$2)&lt;"10",MAXA(R14:AA14),MAXA(AB14:BB14))</f>
        <v>432.46</v>
      </c>
      <c r="F14" s="74" t="str">
        <f>HLOOKUP(E14,$R14:$AA$59,46,FALSE)</f>
        <v>Новокуйбышевск</v>
      </c>
      <c r="G14" s="78">
        <v>125.38</v>
      </c>
      <c r="H14" s="66">
        <f aca="true" t="shared" si="5" ref="H14:H19">IF(LEFT($M$2,2)&lt;"11",RANK(G14,BC14:BL14),RANK(G14,BM14:CM14))</f>
        <v>10</v>
      </c>
      <c r="I14" s="55">
        <f>IF(LEFT($M$2)&lt;"10",MAXA(BC14:BL14),MAXA(BM14:CM14))</f>
        <v>599.59</v>
      </c>
      <c r="J14" s="74" t="str">
        <f>HLOOKUP(I14,$BC14:$CM$59,46,FALSE)</f>
        <v>Новокуйбышевск</v>
      </c>
      <c r="K14" s="81">
        <f t="shared" si="0"/>
        <v>28.57</v>
      </c>
      <c r="L14" s="33">
        <v>20.4</v>
      </c>
      <c r="M14" s="78">
        <v>133.31</v>
      </c>
      <c r="N14" s="66">
        <f>IF(LEFT($M$2,2)&lt;"11",RANK(M14,CN14:CW14),RANK(M14,CX14:DX14))</f>
        <v>10</v>
      </c>
      <c r="O14" s="55">
        <f>IF(LEFT($M$2)&lt;"10",MAXA(CN14:CW14),MAXA(CX14:DX14))</f>
        <v>572.38</v>
      </c>
      <c r="P14" s="74" t="str">
        <f>HLOOKUP(O14,$CN14:$DX$59,46,FALSE)</f>
        <v>Самара</v>
      </c>
      <c r="Q14" s="33"/>
      <c r="R14" s="79">
        <v>361.78</v>
      </c>
      <c r="S14" s="79">
        <v>342.99</v>
      </c>
      <c r="T14" s="79">
        <v>209.53</v>
      </c>
      <c r="U14" s="79">
        <v>432.46</v>
      </c>
      <c r="V14" s="81">
        <f t="shared" si="1"/>
        <v>97.52</v>
      </c>
      <c r="W14" s="79">
        <v>267.37</v>
      </c>
      <c r="X14" s="79">
        <v>153.7</v>
      </c>
      <c r="Y14" s="79">
        <v>141.45</v>
      </c>
      <c r="Z14" s="79">
        <v>171.7</v>
      </c>
      <c r="AA14" s="79">
        <v>181.48</v>
      </c>
      <c r="AB14" s="79">
        <v>74.24</v>
      </c>
      <c r="AC14" s="79">
        <v>126.27</v>
      </c>
      <c r="AD14" s="79">
        <v>195.56</v>
      </c>
      <c r="AE14" s="79">
        <v>92.34</v>
      </c>
      <c r="AF14" s="79">
        <v>91.34</v>
      </c>
      <c r="AG14" s="79">
        <v>62.94</v>
      </c>
      <c r="AH14" s="79">
        <v>329.2</v>
      </c>
      <c r="AI14" s="79">
        <v>75.27</v>
      </c>
      <c r="AJ14" s="79">
        <v>109.61</v>
      </c>
      <c r="AK14" s="79">
        <v>77.37</v>
      </c>
      <c r="AL14" s="79">
        <v>289.16</v>
      </c>
      <c r="AM14" s="79">
        <v>95.35</v>
      </c>
      <c r="AN14" s="79">
        <v>107.14</v>
      </c>
      <c r="AO14" s="79">
        <v>91.46</v>
      </c>
      <c r="AP14" s="79">
        <v>98.94</v>
      </c>
      <c r="AQ14" s="79">
        <v>179.31</v>
      </c>
      <c r="AR14" s="79">
        <v>201.62</v>
      </c>
      <c r="AS14" s="79">
        <v>81.29</v>
      </c>
      <c r="AT14" s="79">
        <v>58.89</v>
      </c>
      <c r="AU14" s="79">
        <v>87.96</v>
      </c>
      <c r="AV14" s="79">
        <v>163.05</v>
      </c>
      <c r="AW14" s="79">
        <v>261.35</v>
      </c>
      <c r="AX14" s="79">
        <v>120.4</v>
      </c>
      <c r="AY14" s="79">
        <v>80.2</v>
      </c>
      <c r="AZ14" s="79">
        <v>187.01</v>
      </c>
      <c r="BA14" s="79">
        <v>75.26</v>
      </c>
      <c r="BB14" s="79">
        <v>89.22</v>
      </c>
      <c r="BC14" s="79">
        <v>473.04</v>
      </c>
      <c r="BD14" s="79">
        <v>421.63</v>
      </c>
      <c r="BE14" s="79">
        <v>267.19</v>
      </c>
      <c r="BF14" s="79">
        <v>599.59</v>
      </c>
      <c r="BG14" s="81">
        <f t="shared" si="2"/>
        <v>125.38</v>
      </c>
      <c r="BH14" s="79">
        <v>321.18</v>
      </c>
      <c r="BI14" s="79">
        <v>181.19</v>
      </c>
      <c r="BJ14" s="79">
        <v>157.24</v>
      </c>
      <c r="BK14" s="79">
        <v>219.16</v>
      </c>
      <c r="BL14" s="79">
        <v>224.36</v>
      </c>
      <c r="BM14" s="79">
        <v>98.23</v>
      </c>
      <c r="BN14" s="79">
        <v>166.32</v>
      </c>
      <c r="BO14" s="79">
        <v>207.17</v>
      </c>
      <c r="BP14" s="79">
        <v>124.07</v>
      </c>
      <c r="BQ14" s="79">
        <v>120.46</v>
      </c>
      <c r="BR14" s="79">
        <v>81.7</v>
      </c>
      <c r="BS14" s="79">
        <v>343.67</v>
      </c>
      <c r="BT14" s="79">
        <v>110</v>
      </c>
      <c r="BU14" s="79">
        <v>131.78</v>
      </c>
      <c r="BV14" s="79">
        <v>89.82</v>
      </c>
      <c r="BW14" s="79">
        <v>132.91</v>
      </c>
      <c r="BX14" s="79">
        <v>122</v>
      </c>
      <c r="BY14" s="79">
        <v>144.17</v>
      </c>
      <c r="BZ14" s="79">
        <v>117.94</v>
      </c>
      <c r="CA14" s="79">
        <v>141.14</v>
      </c>
      <c r="CB14" s="79">
        <v>228.2</v>
      </c>
      <c r="CC14" s="79">
        <v>256.73</v>
      </c>
      <c r="CD14" s="79">
        <v>101.8</v>
      </c>
      <c r="CE14" s="79">
        <v>73.92</v>
      </c>
      <c r="CF14" s="79">
        <v>284.19</v>
      </c>
      <c r="CG14" s="79">
        <v>210.39</v>
      </c>
      <c r="CH14" s="79">
        <v>302.35</v>
      </c>
      <c r="CI14" s="79">
        <v>144.55</v>
      </c>
      <c r="CJ14" s="79">
        <v>100.96</v>
      </c>
      <c r="CK14" s="79">
        <v>107.07</v>
      </c>
      <c r="CL14" s="79">
        <v>263.58</v>
      </c>
      <c r="CM14" s="79">
        <v>109.72</v>
      </c>
      <c r="CN14" s="79">
        <v>572.38</v>
      </c>
      <c r="CO14" s="79">
        <v>503.76</v>
      </c>
      <c r="CP14" s="79">
        <v>323.91</v>
      </c>
      <c r="CQ14" s="79">
        <v>419.65</v>
      </c>
      <c r="CR14" s="81">
        <f t="shared" si="3"/>
        <v>133.31</v>
      </c>
      <c r="CS14" s="79">
        <v>346.74</v>
      </c>
      <c r="CT14" s="79">
        <v>222.07</v>
      </c>
      <c r="CU14" s="79">
        <v>201.25</v>
      </c>
      <c r="CV14" s="79">
        <v>283.39</v>
      </c>
      <c r="CW14" s="79">
        <v>251.83</v>
      </c>
      <c r="CX14" s="79">
        <v>73.61</v>
      </c>
      <c r="CY14" s="79">
        <v>101.16</v>
      </c>
      <c r="CZ14" s="79">
        <v>106.63</v>
      </c>
      <c r="DA14" s="79">
        <v>94.03</v>
      </c>
      <c r="DB14" s="79">
        <v>96.19</v>
      </c>
      <c r="DC14" s="79">
        <v>58.79</v>
      </c>
      <c r="DD14" s="79">
        <v>292.81</v>
      </c>
      <c r="DE14" s="79">
        <v>92.09</v>
      </c>
      <c r="DF14" s="79">
        <v>132.06</v>
      </c>
      <c r="DG14" s="79">
        <v>81.81</v>
      </c>
      <c r="DH14" s="79">
        <v>139.17</v>
      </c>
      <c r="DI14" s="79">
        <v>106.18</v>
      </c>
      <c r="DJ14" s="79">
        <v>110.8</v>
      </c>
      <c r="DK14" s="79">
        <v>103.35</v>
      </c>
      <c r="DL14" s="79">
        <v>110.74</v>
      </c>
      <c r="DM14" s="79">
        <v>184.71</v>
      </c>
      <c r="DN14" s="79">
        <v>223.72</v>
      </c>
      <c r="DO14" s="79">
        <v>90.34</v>
      </c>
      <c r="DP14" s="79">
        <v>65.76</v>
      </c>
      <c r="DQ14" s="79">
        <v>75.49</v>
      </c>
      <c r="DR14" s="79">
        <v>205.26</v>
      </c>
      <c r="DS14" s="79">
        <v>160.83</v>
      </c>
      <c r="DT14" s="79">
        <v>134.3</v>
      </c>
      <c r="DU14" s="79">
        <v>87.79</v>
      </c>
      <c r="DV14" s="79">
        <v>91.89</v>
      </c>
      <c r="DW14" s="79">
        <v>147.16</v>
      </c>
      <c r="DX14" s="79">
        <v>98.43</v>
      </c>
      <c r="DY14" s="53">
        <f>(M14-G14)/G14*100</f>
        <v>6.324772691019306</v>
      </c>
      <c r="DZ14" s="34" t="str">
        <f>IF(N14&lt;H14,"+",IF(N14=H14,"=",IF(N14&gt;H14,"-")))</f>
        <v>=</v>
      </c>
    </row>
    <row r="15" spans="1:130" ht="25.5">
      <c r="A15" s="31" t="s">
        <v>150</v>
      </c>
      <c r="B15" s="32" t="s">
        <v>151</v>
      </c>
      <c r="C15" s="78">
        <v>255.05</v>
      </c>
      <c r="D15" s="66">
        <f t="shared" si="4"/>
        <v>10</v>
      </c>
      <c r="E15" s="55">
        <f aca="true" t="shared" si="6" ref="E15:E20">IF(LEFT($M$2)&lt;"10",MAXA(R15:AA15),MAXA(AB15:BB15))</f>
        <v>669.5</v>
      </c>
      <c r="F15" s="74" t="str">
        <f>HLOOKUP(E15,$R15:$AA$59,45,FALSE)</f>
        <v> Самара</v>
      </c>
      <c r="G15" s="78">
        <v>330.46</v>
      </c>
      <c r="H15" s="66">
        <f t="shared" si="5"/>
        <v>10</v>
      </c>
      <c r="I15" s="55">
        <f aca="true" t="shared" si="7" ref="I15:I27">IF(LEFT($M$2)&lt;"10",MAXA(BC15:BL15),MAXA(BM15:CM15))</f>
        <v>1103.95</v>
      </c>
      <c r="J15" s="74" t="str">
        <f>HLOOKUP(I15,$BC15:$CM$59,45,FALSE)</f>
        <v>Новокуйбышевск</v>
      </c>
      <c r="K15" s="81">
        <f t="shared" si="0"/>
        <v>29.57</v>
      </c>
      <c r="L15" s="33">
        <v>20.4</v>
      </c>
      <c r="M15" s="78">
        <v>351.38</v>
      </c>
      <c r="N15" s="66">
        <f aca="true" t="shared" si="8" ref="N15:N27">IF(LEFT($M$2,2)&lt;"11",RANK(M15,CN15:CW15),RANK(M15,CX15:DX15))</f>
        <v>10</v>
      </c>
      <c r="O15" s="55">
        <f aca="true" t="shared" si="9" ref="O15:O27">IF(LEFT($M$2)&lt;"10",MAXA(CN15:CW15),MAXA(CX15:DX15))</f>
        <v>1046.96</v>
      </c>
      <c r="P15" s="74" t="str">
        <f>HLOOKUP(O15,$CN15:$DX$59,45,FALSE)</f>
        <v>Самара</v>
      </c>
      <c r="Q15" s="33"/>
      <c r="R15" s="79">
        <v>669.5</v>
      </c>
      <c r="S15" s="79">
        <v>664.11</v>
      </c>
      <c r="T15" s="79">
        <v>444.07</v>
      </c>
      <c r="U15" s="79">
        <v>524.75</v>
      </c>
      <c r="V15" s="81">
        <f t="shared" si="1"/>
        <v>255.05</v>
      </c>
      <c r="W15" s="79">
        <v>530.41</v>
      </c>
      <c r="X15" s="79">
        <v>354.41</v>
      </c>
      <c r="Y15" s="79">
        <v>368.17</v>
      </c>
      <c r="Z15" s="79">
        <v>425.7</v>
      </c>
      <c r="AA15" s="79">
        <v>393.62</v>
      </c>
      <c r="AB15" s="79">
        <v>159.52</v>
      </c>
      <c r="AC15" s="79">
        <v>307.22</v>
      </c>
      <c r="AD15" s="79">
        <v>211.46</v>
      </c>
      <c r="AE15" s="79">
        <v>208.46</v>
      </c>
      <c r="AF15" s="79">
        <v>183.65</v>
      </c>
      <c r="AG15" s="79">
        <v>144.35</v>
      </c>
      <c r="AH15" s="79">
        <v>579.52</v>
      </c>
      <c r="AI15" s="79">
        <v>156.16</v>
      </c>
      <c r="AJ15" s="79">
        <v>219.78</v>
      </c>
      <c r="AK15" s="79">
        <v>171.53</v>
      </c>
      <c r="AL15" s="79">
        <v>277.61</v>
      </c>
      <c r="AM15" s="79">
        <v>241.19</v>
      </c>
      <c r="AN15" s="79">
        <v>419.9</v>
      </c>
      <c r="AO15" s="79">
        <v>216.87</v>
      </c>
      <c r="AP15" s="79">
        <v>239.69</v>
      </c>
      <c r="AQ15" s="79">
        <v>456.6</v>
      </c>
      <c r="AR15" s="79">
        <v>431.83</v>
      </c>
      <c r="AS15" s="79">
        <v>168.63</v>
      </c>
      <c r="AT15" s="79">
        <v>150.83</v>
      </c>
      <c r="AU15" s="79">
        <v>203.07</v>
      </c>
      <c r="AV15" s="79">
        <v>361.05</v>
      </c>
      <c r="AW15" s="79">
        <v>369.22</v>
      </c>
      <c r="AX15" s="79">
        <v>300.54</v>
      </c>
      <c r="AY15" s="79">
        <v>169.22</v>
      </c>
      <c r="AZ15" s="79">
        <v>170.31</v>
      </c>
      <c r="BA15" s="79">
        <v>178.3</v>
      </c>
      <c r="BB15" s="79">
        <v>204.08</v>
      </c>
      <c r="BC15" s="79">
        <v>865.3</v>
      </c>
      <c r="BD15" s="79">
        <v>806.73</v>
      </c>
      <c r="BE15" s="79">
        <v>543.24</v>
      </c>
      <c r="BF15" s="79">
        <v>1103.95</v>
      </c>
      <c r="BG15" s="81">
        <f t="shared" si="2"/>
        <v>330.46</v>
      </c>
      <c r="BH15" s="79">
        <v>613.98</v>
      </c>
      <c r="BI15" s="79">
        <v>410.48</v>
      </c>
      <c r="BJ15" s="79">
        <v>417.02</v>
      </c>
      <c r="BK15" s="79">
        <v>521.4</v>
      </c>
      <c r="BL15" s="79">
        <v>465.11</v>
      </c>
      <c r="BM15" s="79">
        <v>219.09</v>
      </c>
      <c r="BN15" s="79">
        <v>398.96</v>
      </c>
      <c r="BO15" s="79">
        <v>490.58</v>
      </c>
      <c r="BP15" s="79">
        <v>287.55</v>
      </c>
      <c r="BQ15" s="79">
        <v>249.03</v>
      </c>
      <c r="BR15" s="79">
        <v>203.44</v>
      </c>
      <c r="BS15" s="79">
        <v>763.88</v>
      </c>
      <c r="BT15" s="79">
        <v>232.17</v>
      </c>
      <c r="BU15" s="79">
        <v>274.05</v>
      </c>
      <c r="BV15" s="79">
        <v>221.21</v>
      </c>
      <c r="BW15" s="79">
        <v>338.09</v>
      </c>
      <c r="BX15" s="79">
        <v>320.84</v>
      </c>
      <c r="BY15" s="79">
        <v>324.77</v>
      </c>
      <c r="BZ15" s="79">
        <v>291.79</v>
      </c>
      <c r="CA15" s="79">
        <v>342.12</v>
      </c>
      <c r="CB15" s="79">
        <v>560.6</v>
      </c>
      <c r="CC15" s="79">
        <v>525.75</v>
      </c>
      <c r="CD15" s="79">
        <v>223.91</v>
      </c>
      <c r="CE15" s="79">
        <v>195.29</v>
      </c>
      <c r="CF15" s="79">
        <v>635.52</v>
      </c>
      <c r="CG15" s="79">
        <v>456.41</v>
      </c>
      <c r="CH15" s="79">
        <v>548.43</v>
      </c>
      <c r="CI15" s="79">
        <v>348.17</v>
      </c>
      <c r="CJ15" s="79">
        <v>233.84</v>
      </c>
      <c r="CK15" s="79">
        <v>261.86</v>
      </c>
      <c r="CL15" s="79">
        <v>645.4</v>
      </c>
      <c r="CM15" s="79">
        <v>259.76</v>
      </c>
      <c r="CN15" s="79">
        <v>1046.96</v>
      </c>
      <c r="CO15" s="79">
        <v>963.88</v>
      </c>
      <c r="CP15" s="79">
        <v>658.56</v>
      </c>
      <c r="CQ15" s="79">
        <v>772.65</v>
      </c>
      <c r="CR15" s="81">
        <f t="shared" si="3"/>
        <v>351.38</v>
      </c>
      <c r="CS15" s="79">
        <v>662.82</v>
      </c>
      <c r="CT15" s="79">
        <v>503.09</v>
      </c>
      <c r="CU15" s="79">
        <v>533.74</v>
      </c>
      <c r="CV15" s="79">
        <v>674.22</v>
      </c>
      <c r="CW15" s="79">
        <v>522.07</v>
      </c>
      <c r="CX15" s="79">
        <v>164.17</v>
      </c>
      <c r="CY15" s="79">
        <v>242.67</v>
      </c>
      <c r="CZ15" s="79">
        <v>252.49</v>
      </c>
      <c r="DA15" s="79">
        <v>217.93</v>
      </c>
      <c r="DB15" s="79">
        <v>198.86</v>
      </c>
      <c r="DC15" s="79">
        <v>146.4</v>
      </c>
      <c r="DD15" s="79">
        <v>650.83</v>
      </c>
      <c r="DE15" s="79">
        <v>194.36</v>
      </c>
      <c r="DF15" s="79">
        <v>274.63</v>
      </c>
      <c r="DG15" s="79">
        <v>201.47</v>
      </c>
      <c r="DH15" s="79">
        <v>354.03</v>
      </c>
      <c r="DI15" s="79">
        <v>279.24</v>
      </c>
      <c r="DJ15" s="79">
        <v>249.6</v>
      </c>
      <c r="DK15" s="79">
        <v>255.7</v>
      </c>
      <c r="DL15" s="79">
        <v>268.41</v>
      </c>
      <c r="DM15" s="79">
        <v>453.76</v>
      </c>
      <c r="DN15" s="79">
        <v>458.14</v>
      </c>
      <c r="DO15" s="79">
        <v>198.69</v>
      </c>
      <c r="DP15" s="79">
        <v>173.75</v>
      </c>
      <c r="DQ15" s="79">
        <v>168.82</v>
      </c>
      <c r="DR15" s="79">
        <v>445.27</v>
      </c>
      <c r="DS15" s="79">
        <v>291.73</v>
      </c>
      <c r="DT15" s="79">
        <v>323.49</v>
      </c>
      <c r="DU15" s="79">
        <v>203.33</v>
      </c>
      <c r="DV15" s="79">
        <v>224.74</v>
      </c>
      <c r="DW15" s="79">
        <v>360.34</v>
      </c>
      <c r="DX15" s="79">
        <v>233.04</v>
      </c>
      <c r="DY15" s="53">
        <f aca="true" t="shared" si="10" ref="DY15:DY27">(M15-G15)/G15*100</f>
        <v>6.330569509169043</v>
      </c>
      <c r="DZ15" s="34" t="str">
        <f aca="true" t="shared" si="11" ref="DZ15:DZ27">IF(N15&lt;H15,"+",IF(N15=H15,"=",IF(N15&gt;H15,"-")))</f>
        <v>=</v>
      </c>
    </row>
    <row r="16" spans="1:130" ht="25.5" customHeight="1">
      <c r="A16" s="31" t="s">
        <v>152</v>
      </c>
      <c r="B16" s="32" t="s">
        <v>153</v>
      </c>
      <c r="C16" s="78">
        <v>13.37</v>
      </c>
      <c r="D16" s="66">
        <f t="shared" si="4"/>
        <v>9</v>
      </c>
      <c r="E16" s="55">
        <f t="shared" si="6"/>
        <v>42.37</v>
      </c>
      <c r="F16" s="74" t="str">
        <f>HLOOKUP(E16,$R16:$AA$59,44,FALSE)</f>
        <v> Самара</v>
      </c>
      <c r="G16" s="78">
        <v>17.03</v>
      </c>
      <c r="H16" s="66">
        <f t="shared" si="5"/>
        <v>9</v>
      </c>
      <c r="I16" s="55">
        <f t="shared" si="7"/>
        <v>47.28</v>
      </c>
      <c r="J16" s="74" t="str">
        <f>HLOOKUP(I16,$BC16:$CM$59,44,FALSE)</f>
        <v>Самара</v>
      </c>
      <c r="K16" s="81">
        <f t="shared" si="0"/>
        <v>27.37</v>
      </c>
      <c r="L16" s="33">
        <v>8.1</v>
      </c>
      <c r="M16" s="78">
        <v>14.4</v>
      </c>
      <c r="N16" s="66">
        <f t="shared" si="8"/>
        <v>10</v>
      </c>
      <c r="O16" s="55">
        <f t="shared" si="9"/>
        <v>49.13</v>
      </c>
      <c r="P16" s="74" t="str">
        <f>HLOOKUP(O16,$CN16:$DX$59,44,FALSE)</f>
        <v>Самара</v>
      </c>
      <c r="Q16" s="33"/>
      <c r="R16" s="79">
        <v>42.37</v>
      </c>
      <c r="S16" s="79">
        <v>29.55</v>
      </c>
      <c r="T16" s="79">
        <v>28.42</v>
      </c>
      <c r="U16" s="79">
        <v>26.31</v>
      </c>
      <c r="V16" s="81">
        <f t="shared" si="1"/>
        <v>13.37</v>
      </c>
      <c r="W16" s="79">
        <v>22.46</v>
      </c>
      <c r="X16" s="79">
        <v>21.96</v>
      </c>
      <c r="Y16" s="79">
        <v>11.03</v>
      </c>
      <c r="Z16" s="79">
        <v>19.98</v>
      </c>
      <c r="AA16" s="79">
        <v>27.69</v>
      </c>
      <c r="AB16" s="79">
        <v>9.42</v>
      </c>
      <c r="AC16" s="79">
        <v>16.74</v>
      </c>
      <c r="AD16" s="79">
        <v>10.36</v>
      </c>
      <c r="AE16" s="79">
        <v>16.14</v>
      </c>
      <c r="AF16" s="79">
        <v>15.36</v>
      </c>
      <c r="AG16" s="79">
        <v>11.12</v>
      </c>
      <c r="AH16" s="79">
        <v>13.11</v>
      </c>
      <c r="AI16" s="79">
        <v>11.4</v>
      </c>
      <c r="AJ16" s="79">
        <v>12.83</v>
      </c>
      <c r="AK16" s="79">
        <v>10.01</v>
      </c>
      <c r="AL16" s="79">
        <v>8.33</v>
      </c>
      <c r="AM16" s="79">
        <v>14.05</v>
      </c>
      <c r="AN16" s="79">
        <v>9.11</v>
      </c>
      <c r="AO16" s="79">
        <v>15.34</v>
      </c>
      <c r="AP16" s="79">
        <v>7.05</v>
      </c>
      <c r="AQ16" s="79">
        <v>22.81</v>
      </c>
      <c r="AR16" s="79">
        <v>17.83</v>
      </c>
      <c r="AS16" s="79">
        <v>9.7</v>
      </c>
      <c r="AT16" s="79">
        <v>9.4</v>
      </c>
      <c r="AU16" s="79">
        <v>12.73</v>
      </c>
      <c r="AV16" s="79">
        <v>23.26</v>
      </c>
      <c r="AW16" s="79">
        <v>19.81</v>
      </c>
      <c r="AX16" s="79">
        <v>11.67</v>
      </c>
      <c r="AY16" s="79">
        <v>10.19</v>
      </c>
      <c r="AZ16" s="79">
        <v>12.52</v>
      </c>
      <c r="BA16" s="79">
        <v>22.18</v>
      </c>
      <c r="BB16" s="79">
        <v>12.19</v>
      </c>
      <c r="BC16" s="79">
        <v>47.28</v>
      </c>
      <c r="BD16" s="79">
        <v>31.93</v>
      </c>
      <c r="BE16" s="79">
        <v>36.04</v>
      </c>
      <c r="BF16" s="79">
        <v>31.03</v>
      </c>
      <c r="BG16" s="81">
        <f t="shared" si="2"/>
        <v>17.03</v>
      </c>
      <c r="BH16" s="79">
        <v>22.08</v>
      </c>
      <c r="BI16" s="79">
        <v>22.09</v>
      </c>
      <c r="BJ16" s="79">
        <v>13.15</v>
      </c>
      <c r="BK16" s="79">
        <v>22.31</v>
      </c>
      <c r="BL16" s="79">
        <v>34.09</v>
      </c>
      <c r="BM16" s="79">
        <v>9.94</v>
      </c>
      <c r="BN16" s="79">
        <v>17.22</v>
      </c>
      <c r="BO16" s="79">
        <v>11.6</v>
      </c>
      <c r="BP16" s="79">
        <v>18.31</v>
      </c>
      <c r="BQ16" s="79">
        <v>18.66</v>
      </c>
      <c r="BR16" s="79">
        <v>11.73</v>
      </c>
      <c r="BS16" s="79">
        <v>14.82</v>
      </c>
      <c r="BT16" s="79">
        <v>10.47</v>
      </c>
      <c r="BU16" s="79">
        <v>13.11</v>
      </c>
      <c r="BV16" s="79">
        <v>9.51</v>
      </c>
      <c r="BW16" s="79">
        <v>8.14</v>
      </c>
      <c r="BX16" s="79">
        <v>15.73</v>
      </c>
      <c r="BY16" s="79">
        <v>14.21</v>
      </c>
      <c r="BZ16" s="79">
        <v>15.92</v>
      </c>
      <c r="CA16" s="79">
        <v>7.1</v>
      </c>
      <c r="CB16" s="79">
        <v>33.21</v>
      </c>
      <c r="CC16" s="79">
        <v>17.95</v>
      </c>
      <c r="CD16" s="79">
        <v>9.51</v>
      </c>
      <c r="CE16" s="79">
        <v>9.2</v>
      </c>
      <c r="CF16" s="79">
        <v>12.09</v>
      </c>
      <c r="CG16" s="79">
        <v>29.35</v>
      </c>
      <c r="CH16" s="79">
        <v>17.07</v>
      </c>
      <c r="CI16" s="79">
        <v>17.91</v>
      </c>
      <c r="CJ16" s="79">
        <v>10.27</v>
      </c>
      <c r="CK16" s="79">
        <v>11.29</v>
      </c>
      <c r="CL16" s="79">
        <v>13.08</v>
      </c>
      <c r="CM16" s="79">
        <v>13.4</v>
      </c>
      <c r="CN16" s="79">
        <v>49.13</v>
      </c>
      <c r="CO16" s="79">
        <v>34.87</v>
      </c>
      <c r="CP16" s="79">
        <v>36.75</v>
      </c>
      <c r="CQ16" s="79">
        <v>34.2</v>
      </c>
      <c r="CR16" s="81">
        <f t="shared" si="3"/>
        <v>14.4</v>
      </c>
      <c r="CS16" s="79">
        <v>22.56</v>
      </c>
      <c r="CT16" s="79">
        <v>25.1</v>
      </c>
      <c r="CU16" s="79">
        <v>15.75</v>
      </c>
      <c r="CV16" s="79">
        <v>28.69</v>
      </c>
      <c r="CW16" s="79">
        <v>35.52</v>
      </c>
      <c r="CX16" s="79">
        <v>15.13</v>
      </c>
      <c r="CY16" s="79">
        <v>19.03</v>
      </c>
      <c r="CZ16" s="79">
        <v>12.26</v>
      </c>
      <c r="DA16" s="79">
        <v>21.73</v>
      </c>
      <c r="DB16" s="79">
        <v>23.87</v>
      </c>
      <c r="DC16" s="79">
        <v>12.81</v>
      </c>
      <c r="DD16" s="79">
        <v>17.66</v>
      </c>
      <c r="DE16" s="79">
        <v>14.22</v>
      </c>
      <c r="DF16" s="79">
        <v>16.07</v>
      </c>
      <c r="DG16" s="79">
        <v>18.1</v>
      </c>
      <c r="DH16" s="79">
        <v>12.35</v>
      </c>
      <c r="DI16" s="79">
        <v>14.73</v>
      </c>
      <c r="DJ16" s="79">
        <v>16.48</v>
      </c>
      <c r="DK16" s="79">
        <v>16.96</v>
      </c>
      <c r="DL16" s="79">
        <v>6.82</v>
      </c>
      <c r="DM16" s="79">
        <v>27.3</v>
      </c>
      <c r="DN16" s="79">
        <v>19.74</v>
      </c>
      <c r="DO16" s="79">
        <v>11.47</v>
      </c>
      <c r="DP16" s="79">
        <v>11.53</v>
      </c>
      <c r="DQ16" s="79">
        <v>14.2</v>
      </c>
      <c r="DR16" s="79">
        <v>29.54</v>
      </c>
      <c r="DS16" s="79">
        <v>16.89</v>
      </c>
      <c r="DT16" s="79">
        <v>17.51</v>
      </c>
      <c r="DU16" s="79">
        <v>10.42</v>
      </c>
      <c r="DV16" s="79">
        <v>11.92</v>
      </c>
      <c r="DW16" s="79">
        <v>46.07</v>
      </c>
      <c r="DX16" s="79">
        <v>15.74</v>
      </c>
      <c r="DY16" s="53">
        <f t="shared" si="10"/>
        <v>-15.443335290663537</v>
      </c>
      <c r="DZ16" s="34" t="str">
        <f t="shared" si="11"/>
        <v>-</v>
      </c>
    </row>
    <row r="17" spans="1:130" ht="25.5">
      <c r="A17" s="31" t="s">
        <v>154</v>
      </c>
      <c r="B17" s="32" t="s">
        <v>155</v>
      </c>
      <c r="C17" s="78">
        <v>840.79</v>
      </c>
      <c r="D17" s="66">
        <f t="shared" si="4"/>
        <v>9</v>
      </c>
      <c r="E17" s="55">
        <f t="shared" si="6"/>
        <v>2484.31</v>
      </c>
      <c r="F17" s="74" t="str">
        <f>HLOOKUP(E17,$R17:$AA$59,43,FALSE)</f>
        <v> Самара</v>
      </c>
      <c r="G17" s="78">
        <v>1042.32</v>
      </c>
      <c r="H17" s="66">
        <f t="shared" si="5"/>
        <v>8</v>
      </c>
      <c r="I17" s="55">
        <f t="shared" si="7"/>
        <v>2645.23</v>
      </c>
      <c r="J17" s="74" t="str">
        <f>HLOOKUP(I17,$BC17:$CM$59,43,FALSE)</f>
        <v>Самара</v>
      </c>
      <c r="K17" s="81">
        <f t="shared" si="0"/>
        <v>23.97</v>
      </c>
      <c r="L17" s="33">
        <v>8.1</v>
      </c>
      <c r="M17" s="78">
        <v>881.1</v>
      </c>
      <c r="N17" s="66">
        <f t="shared" si="8"/>
        <v>10</v>
      </c>
      <c r="O17" s="55">
        <f t="shared" si="9"/>
        <v>2748.86</v>
      </c>
      <c r="P17" s="74" t="str">
        <f>HLOOKUP(O17,$CN17:$DX$59,43,FALSE)</f>
        <v>Самара</v>
      </c>
      <c r="Q17" s="33"/>
      <c r="R17" s="79">
        <v>2484.31</v>
      </c>
      <c r="S17" s="79">
        <v>2058.71</v>
      </c>
      <c r="T17" s="79">
        <v>1566.66</v>
      </c>
      <c r="U17" s="79">
        <v>1795.63</v>
      </c>
      <c r="V17" s="81">
        <f t="shared" si="1"/>
        <v>840.79</v>
      </c>
      <c r="W17" s="79">
        <v>1258.91</v>
      </c>
      <c r="X17" s="79">
        <v>1624.31</v>
      </c>
      <c r="Y17" s="79">
        <v>1030.41</v>
      </c>
      <c r="Z17" s="79">
        <v>824.63</v>
      </c>
      <c r="AA17" s="79">
        <v>1243.68</v>
      </c>
      <c r="AB17" s="79">
        <v>1204.32</v>
      </c>
      <c r="AC17" s="79">
        <v>1308.32</v>
      </c>
      <c r="AD17" s="79">
        <v>788.86</v>
      </c>
      <c r="AE17" s="79">
        <v>1361.88</v>
      </c>
      <c r="AF17" s="79">
        <v>1388.78</v>
      </c>
      <c r="AG17" s="79">
        <v>769.73</v>
      </c>
      <c r="AH17" s="79">
        <v>1418.44</v>
      </c>
      <c r="AI17" s="79">
        <v>1815.19</v>
      </c>
      <c r="AJ17" s="79">
        <v>1234.68</v>
      </c>
      <c r="AK17" s="79">
        <v>666.99</v>
      </c>
      <c r="AL17" s="79">
        <v>695.14</v>
      </c>
      <c r="AM17" s="79">
        <v>1131.2</v>
      </c>
      <c r="AN17" s="79">
        <v>761.03</v>
      </c>
      <c r="AO17" s="79">
        <v>1708.23</v>
      </c>
      <c r="AP17" s="79">
        <v>952.26</v>
      </c>
      <c r="AQ17" s="79">
        <v>1814.1</v>
      </c>
      <c r="AR17" s="79">
        <v>1298.22</v>
      </c>
      <c r="AS17" s="79">
        <v>1099.7</v>
      </c>
      <c r="AT17" s="79">
        <v>1635.1</v>
      </c>
      <c r="AU17" s="79">
        <v>1112.19</v>
      </c>
      <c r="AV17" s="79">
        <v>1838.81</v>
      </c>
      <c r="AW17" s="79">
        <v>2262.56</v>
      </c>
      <c r="AX17" s="79">
        <v>1393.11</v>
      </c>
      <c r="AY17" s="79">
        <v>1933.66</v>
      </c>
      <c r="AZ17" s="79">
        <v>1369.73</v>
      </c>
      <c r="BA17" s="79">
        <v>2128.24</v>
      </c>
      <c r="BB17" s="79">
        <v>1285.82</v>
      </c>
      <c r="BC17" s="79">
        <v>2645.23</v>
      </c>
      <c r="BD17" s="79">
        <v>1876.25</v>
      </c>
      <c r="BE17" s="79">
        <v>1694.68</v>
      </c>
      <c r="BF17" s="79">
        <v>1979.85</v>
      </c>
      <c r="BG17" s="81">
        <f t="shared" si="2"/>
        <v>1042.32</v>
      </c>
      <c r="BH17" s="79">
        <v>1053.59</v>
      </c>
      <c r="BI17" s="79">
        <v>1304.13</v>
      </c>
      <c r="BJ17" s="79">
        <v>973.27</v>
      </c>
      <c r="BK17" s="79">
        <v>798.35</v>
      </c>
      <c r="BL17" s="79">
        <v>1581.95</v>
      </c>
      <c r="BM17" s="79">
        <v>706.69</v>
      </c>
      <c r="BN17" s="79">
        <v>1059.79</v>
      </c>
      <c r="BO17" s="79">
        <v>594.35</v>
      </c>
      <c r="BP17" s="79">
        <v>1261.13</v>
      </c>
      <c r="BQ17" s="79">
        <v>1250.68</v>
      </c>
      <c r="BR17" s="79">
        <v>620.15</v>
      </c>
      <c r="BS17" s="79">
        <v>1217.29</v>
      </c>
      <c r="BT17" s="79">
        <v>1122.26</v>
      </c>
      <c r="BU17" s="79">
        <v>787.31</v>
      </c>
      <c r="BV17" s="79">
        <v>513.7</v>
      </c>
      <c r="BW17" s="79">
        <v>843.45</v>
      </c>
      <c r="BX17" s="79">
        <v>856.58</v>
      </c>
      <c r="BY17" s="79">
        <v>812.73</v>
      </c>
      <c r="BZ17" s="79">
        <v>532.12</v>
      </c>
      <c r="CA17" s="79">
        <v>666.54</v>
      </c>
      <c r="CB17" s="79">
        <v>2151.47</v>
      </c>
      <c r="CC17" s="79">
        <v>4118.3</v>
      </c>
      <c r="CD17" s="79">
        <v>785.82</v>
      </c>
      <c r="CE17" s="79">
        <v>1374.89</v>
      </c>
      <c r="CF17" s="79">
        <v>781.68</v>
      </c>
      <c r="CG17" s="79">
        <v>1572.59</v>
      </c>
      <c r="CH17" s="79">
        <v>1556.76</v>
      </c>
      <c r="CI17" s="79">
        <v>1438.49</v>
      </c>
      <c r="CJ17" s="79">
        <v>925.64</v>
      </c>
      <c r="CK17" s="79">
        <v>802.32</v>
      </c>
      <c r="CL17" s="79">
        <v>785.86</v>
      </c>
      <c r="CM17" s="79">
        <v>1028.06</v>
      </c>
      <c r="CN17" s="79">
        <v>2748.86</v>
      </c>
      <c r="CO17" s="79">
        <v>2049.1</v>
      </c>
      <c r="CP17" s="79">
        <v>1727.78</v>
      </c>
      <c r="CQ17" s="79">
        <v>2182.04</v>
      </c>
      <c r="CR17" s="81">
        <f t="shared" si="3"/>
        <v>881.1</v>
      </c>
      <c r="CS17" s="79">
        <v>1076.87</v>
      </c>
      <c r="CT17" s="79">
        <v>1482.18</v>
      </c>
      <c r="CU17" s="79">
        <v>1165.56</v>
      </c>
      <c r="CV17" s="79">
        <v>1026.66</v>
      </c>
      <c r="CW17" s="79">
        <v>1648.06</v>
      </c>
      <c r="CX17" s="79">
        <v>1075.58</v>
      </c>
      <c r="CY17" s="79">
        <v>1171.35</v>
      </c>
      <c r="CZ17" s="79">
        <v>628.42</v>
      </c>
      <c r="DA17" s="79">
        <v>1496.66</v>
      </c>
      <c r="DB17" s="79">
        <v>1600.24</v>
      </c>
      <c r="DC17" s="79">
        <v>677.02</v>
      </c>
      <c r="DD17" s="79">
        <v>1450.27</v>
      </c>
      <c r="DE17" s="79">
        <v>1523.3</v>
      </c>
      <c r="DF17" s="79">
        <v>965.1</v>
      </c>
      <c r="DG17" s="79">
        <v>978.09</v>
      </c>
      <c r="DH17" s="79">
        <v>1279.65</v>
      </c>
      <c r="DI17" s="79">
        <v>802.12</v>
      </c>
      <c r="DJ17" s="79">
        <v>942.87</v>
      </c>
      <c r="DK17" s="79">
        <v>566.71</v>
      </c>
      <c r="DL17" s="79">
        <v>640.17</v>
      </c>
      <c r="DM17" s="79">
        <v>1768.62</v>
      </c>
      <c r="DN17" s="79">
        <v>4528.99</v>
      </c>
      <c r="DO17" s="79">
        <v>947.87</v>
      </c>
      <c r="DP17" s="79">
        <v>1722.96</v>
      </c>
      <c r="DQ17" s="79">
        <v>918.24</v>
      </c>
      <c r="DR17" s="79">
        <v>1582.64</v>
      </c>
      <c r="DS17" s="79">
        <v>1540.49</v>
      </c>
      <c r="DT17" s="79">
        <v>1406.25</v>
      </c>
      <c r="DU17" s="79">
        <v>938.38</v>
      </c>
      <c r="DV17" s="79">
        <v>846.88</v>
      </c>
      <c r="DW17" s="79">
        <v>2767.65</v>
      </c>
      <c r="DX17" s="79">
        <v>1207.73</v>
      </c>
      <c r="DY17" s="53">
        <f t="shared" si="10"/>
        <v>-15.46741883490674</v>
      </c>
      <c r="DZ17" s="34" t="str">
        <f t="shared" si="11"/>
        <v>-</v>
      </c>
    </row>
    <row r="18" spans="1:130" ht="25.5">
      <c r="A18" s="31" t="s">
        <v>156</v>
      </c>
      <c r="B18" s="32" t="s">
        <v>157</v>
      </c>
      <c r="C18" s="78">
        <v>1.36</v>
      </c>
      <c r="D18" s="66">
        <f t="shared" si="4"/>
        <v>9</v>
      </c>
      <c r="E18" s="55">
        <f t="shared" si="6"/>
        <v>7.82</v>
      </c>
      <c r="F18" s="74" t="str">
        <f>HLOOKUP(E18,$R18:$AA$59,42,FALSE)</f>
        <v>Отрадный</v>
      </c>
      <c r="G18" s="78">
        <v>1.84</v>
      </c>
      <c r="H18" s="66">
        <f t="shared" si="5"/>
        <v>10</v>
      </c>
      <c r="I18" s="55">
        <f t="shared" si="7"/>
        <v>11.18</v>
      </c>
      <c r="J18" s="74" t="str">
        <f>HLOOKUP(I18,$BC18:$CM$59,42,FALSE)</f>
        <v>Отрадный</v>
      </c>
      <c r="K18" s="81">
        <f t="shared" si="0"/>
        <v>35.29</v>
      </c>
      <c r="L18" s="33">
        <v>12</v>
      </c>
      <c r="M18" s="78">
        <v>1.72</v>
      </c>
      <c r="N18" s="66">
        <f t="shared" si="8"/>
        <v>10</v>
      </c>
      <c r="O18" s="55">
        <f t="shared" si="9"/>
        <v>9.55</v>
      </c>
      <c r="P18" s="74" t="str">
        <f>HLOOKUP(O18,$CN18:$DX$59,42,FALSE)</f>
        <v>Отрадный</v>
      </c>
      <c r="Q18" s="33"/>
      <c r="R18" s="79">
        <v>3.76</v>
      </c>
      <c r="S18" s="79">
        <v>3.51</v>
      </c>
      <c r="T18" s="79">
        <v>3.1</v>
      </c>
      <c r="U18" s="79">
        <v>2.94</v>
      </c>
      <c r="V18" s="81">
        <f t="shared" si="1"/>
        <v>1.36</v>
      </c>
      <c r="W18" s="79">
        <v>7.82</v>
      </c>
      <c r="X18" s="79">
        <v>4.06</v>
      </c>
      <c r="Y18" s="79">
        <v>1.36</v>
      </c>
      <c r="Z18" s="79">
        <v>3.25</v>
      </c>
      <c r="AA18" s="79">
        <v>4.07</v>
      </c>
      <c r="AB18" s="79">
        <v>0.46</v>
      </c>
      <c r="AC18" s="79">
        <v>1.34</v>
      </c>
      <c r="AD18" s="79">
        <v>1.32</v>
      </c>
      <c r="AE18" s="79">
        <v>1.33</v>
      </c>
      <c r="AF18" s="79">
        <v>6.19</v>
      </c>
      <c r="AG18" s="79">
        <v>1.83</v>
      </c>
      <c r="AH18" s="79">
        <v>0.65</v>
      </c>
      <c r="AI18" s="79">
        <v>0.93</v>
      </c>
      <c r="AJ18" s="79">
        <v>0.57</v>
      </c>
      <c r="AK18" s="79">
        <v>2.38</v>
      </c>
      <c r="AL18" s="79">
        <v>3.51</v>
      </c>
      <c r="AM18" s="79">
        <v>1.11</v>
      </c>
      <c r="AN18" s="79">
        <v>0.82</v>
      </c>
      <c r="AO18" s="79">
        <v>0.75</v>
      </c>
      <c r="AP18" s="79">
        <v>3.54</v>
      </c>
      <c r="AQ18" s="79">
        <v>2.38</v>
      </c>
      <c r="AR18" s="79">
        <v>1.35</v>
      </c>
      <c r="AS18" s="79">
        <v>3.73</v>
      </c>
      <c r="AT18" s="79">
        <v>1.56</v>
      </c>
      <c r="AU18" s="79">
        <v>1.36</v>
      </c>
      <c r="AV18" s="79">
        <v>2.22</v>
      </c>
      <c r="AW18" s="79">
        <v>10.37</v>
      </c>
      <c r="AX18" s="79">
        <v>3.09</v>
      </c>
      <c r="AY18" s="79">
        <v>0.81</v>
      </c>
      <c r="AZ18" s="79">
        <v>0.78</v>
      </c>
      <c r="BA18" s="79">
        <v>0.41</v>
      </c>
      <c r="BB18" s="79">
        <v>2.59</v>
      </c>
      <c r="BC18" s="79">
        <v>5.21</v>
      </c>
      <c r="BD18" s="79">
        <v>5.29</v>
      </c>
      <c r="BE18" s="79">
        <v>3.56</v>
      </c>
      <c r="BF18" s="79">
        <v>3.37</v>
      </c>
      <c r="BG18" s="81">
        <f t="shared" si="2"/>
        <v>1.84</v>
      </c>
      <c r="BH18" s="79">
        <v>11.18</v>
      </c>
      <c r="BI18" s="79">
        <v>6.38</v>
      </c>
      <c r="BJ18" s="79">
        <v>1.91</v>
      </c>
      <c r="BK18" s="79">
        <v>3.86</v>
      </c>
      <c r="BL18" s="79">
        <v>6.5</v>
      </c>
      <c r="BM18" s="79">
        <v>0.78</v>
      </c>
      <c r="BN18" s="79">
        <v>1.87</v>
      </c>
      <c r="BO18" s="79">
        <v>4.57</v>
      </c>
      <c r="BP18" s="79">
        <v>2.2</v>
      </c>
      <c r="BQ18" s="79">
        <v>5.5</v>
      </c>
      <c r="BR18" s="79">
        <v>2.53</v>
      </c>
      <c r="BS18" s="79">
        <v>1.06</v>
      </c>
      <c r="BT18" s="79">
        <v>1.51</v>
      </c>
      <c r="BU18" s="79">
        <v>0.66</v>
      </c>
      <c r="BV18" s="79">
        <v>2.58</v>
      </c>
      <c r="BW18" s="79">
        <v>4.41</v>
      </c>
      <c r="BX18" s="79">
        <v>2.54</v>
      </c>
      <c r="BY18" s="79">
        <v>0.96</v>
      </c>
      <c r="BZ18" s="79">
        <v>1.11</v>
      </c>
      <c r="CA18" s="79">
        <v>4.67</v>
      </c>
      <c r="CB18" s="79">
        <v>5.75</v>
      </c>
      <c r="CC18" s="79">
        <v>2.08</v>
      </c>
      <c r="CD18" s="79">
        <v>4.62</v>
      </c>
      <c r="CE18" s="79">
        <v>2.34</v>
      </c>
      <c r="CF18" s="79">
        <v>2.08</v>
      </c>
      <c r="CG18" s="79">
        <v>3.52</v>
      </c>
      <c r="CH18" s="79">
        <v>12.67</v>
      </c>
      <c r="CI18" s="79">
        <v>6.1</v>
      </c>
      <c r="CJ18" s="79">
        <v>1.35</v>
      </c>
      <c r="CK18" s="79">
        <v>1.12</v>
      </c>
      <c r="CL18" s="79">
        <v>0.47</v>
      </c>
      <c r="CM18" s="79">
        <v>2.04</v>
      </c>
      <c r="CN18" s="79">
        <v>5.52</v>
      </c>
      <c r="CO18" s="79">
        <v>5.6</v>
      </c>
      <c r="CP18" s="79">
        <v>4.44</v>
      </c>
      <c r="CQ18" s="79">
        <v>3.55</v>
      </c>
      <c r="CR18" s="81">
        <f t="shared" si="3"/>
        <v>1.72</v>
      </c>
      <c r="CS18" s="79">
        <v>9.55</v>
      </c>
      <c r="CT18" s="79">
        <v>5.79</v>
      </c>
      <c r="CU18" s="79">
        <v>2.4</v>
      </c>
      <c r="CV18" s="79">
        <v>4.24</v>
      </c>
      <c r="CW18" s="79">
        <v>5.16</v>
      </c>
      <c r="CX18" s="79">
        <v>1.06</v>
      </c>
      <c r="CY18" s="79">
        <v>2.21</v>
      </c>
      <c r="CZ18" s="79">
        <v>4.16</v>
      </c>
      <c r="DA18" s="79">
        <v>1.91</v>
      </c>
      <c r="DB18" s="79">
        <v>7.1</v>
      </c>
      <c r="DC18" s="79">
        <v>2.42</v>
      </c>
      <c r="DD18" s="79">
        <v>1.19</v>
      </c>
      <c r="DE18" s="79">
        <v>1.56</v>
      </c>
      <c r="DF18" s="79">
        <v>0.9</v>
      </c>
      <c r="DG18" s="79">
        <v>2.71</v>
      </c>
      <c r="DH18" s="79">
        <v>4.31</v>
      </c>
      <c r="DI18" s="79">
        <v>1.02</v>
      </c>
      <c r="DJ18" s="79">
        <v>1.16</v>
      </c>
      <c r="DK18" s="79">
        <v>0.9</v>
      </c>
      <c r="DL18" s="79">
        <v>3.64</v>
      </c>
      <c r="DM18" s="79">
        <v>4.18</v>
      </c>
      <c r="DN18" s="79">
        <v>2.85</v>
      </c>
      <c r="DO18" s="79">
        <v>4.46</v>
      </c>
      <c r="DP18" s="79">
        <v>2.02</v>
      </c>
      <c r="DQ18" s="79">
        <v>5.3</v>
      </c>
      <c r="DR18" s="79">
        <v>4.44</v>
      </c>
      <c r="DS18" s="79">
        <v>5.83</v>
      </c>
      <c r="DT18" s="79">
        <v>3.76</v>
      </c>
      <c r="DU18" s="79">
        <v>1.26</v>
      </c>
      <c r="DV18" s="79">
        <v>1.13</v>
      </c>
      <c r="DW18" s="79">
        <v>1.6</v>
      </c>
      <c r="DX18" s="79">
        <v>2.59</v>
      </c>
      <c r="DY18" s="53">
        <f t="shared" si="10"/>
        <v>-6.521739130434788</v>
      </c>
      <c r="DZ18" s="34" t="str">
        <f t="shared" si="11"/>
        <v>=</v>
      </c>
    </row>
    <row r="19" spans="1:130" ht="25.5">
      <c r="A19" s="31" t="s">
        <v>158</v>
      </c>
      <c r="B19" s="32" t="s">
        <v>240</v>
      </c>
      <c r="C19" s="78">
        <v>4.15</v>
      </c>
      <c r="D19" s="66">
        <f t="shared" si="4"/>
        <v>9</v>
      </c>
      <c r="E19" s="55">
        <f t="shared" si="6"/>
        <v>14.49</v>
      </c>
      <c r="F19" s="74" t="str">
        <f>HLOOKUP(E19,$R19:$AA$59,41,FALSE)</f>
        <v>Отрадный</v>
      </c>
      <c r="G19" s="78">
        <v>3.43</v>
      </c>
      <c r="H19" s="66">
        <f t="shared" si="5"/>
        <v>9</v>
      </c>
      <c r="I19" s="55">
        <f t="shared" si="7"/>
        <v>16.89</v>
      </c>
      <c r="J19" s="74" t="str">
        <f>HLOOKUP(I19,$BC19:$CM$59,41,FALSE)</f>
        <v>Отрадный</v>
      </c>
      <c r="K19" s="81">
        <f t="shared" si="0"/>
        <v>-17.35</v>
      </c>
      <c r="L19" s="33">
        <v>12</v>
      </c>
      <c r="M19" s="78">
        <v>3.21</v>
      </c>
      <c r="N19" s="66">
        <f t="shared" si="8"/>
        <v>10</v>
      </c>
      <c r="O19" s="55">
        <f t="shared" si="9"/>
        <v>18.63</v>
      </c>
      <c r="P19" s="74" t="str">
        <f>HLOOKUP(O19,$CN19:$DX$59,41,FALSE)</f>
        <v>Сызрань</v>
      </c>
      <c r="Q19" s="33"/>
      <c r="R19" s="79">
        <v>10.99</v>
      </c>
      <c r="S19" s="79">
        <v>8.22</v>
      </c>
      <c r="T19" s="79">
        <v>13.17</v>
      </c>
      <c r="U19" s="79">
        <v>11.64</v>
      </c>
      <c r="V19" s="81">
        <f t="shared" si="1"/>
        <v>4.15</v>
      </c>
      <c r="W19" s="79">
        <v>14.49</v>
      </c>
      <c r="X19" s="79">
        <v>8.8</v>
      </c>
      <c r="Y19" s="79">
        <v>2.13</v>
      </c>
      <c r="Z19" s="79">
        <v>4.55</v>
      </c>
      <c r="AA19" s="79">
        <v>12.6</v>
      </c>
      <c r="AB19" s="79">
        <v>1.9</v>
      </c>
      <c r="AC19" s="79">
        <v>4.85</v>
      </c>
      <c r="AD19" s="79">
        <v>3.2</v>
      </c>
      <c r="AE19" s="79">
        <v>17.75</v>
      </c>
      <c r="AF19" s="79">
        <v>51.69</v>
      </c>
      <c r="AG19" s="79">
        <v>7.91</v>
      </c>
      <c r="AH19" s="79">
        <v>2.37</v>
      </c>
      <c r="AI19" s="79">
        <v>3.97</v>
      </c>
      <c r="AJ19" s="79">
        <v>3.87</v>
      </c>
      <c r="AK19" s="79">
        <v>15.59</v>
      </c>
      <c r="AL19" s="79">
        <v>9.26</v>
      </c>
      <c r="AM19" s="79">
        <v>3.62</v>
      </c>
      <c r="AN19" s="79">
        <v>7.4</v>
      </c>
      <c r="AO19" s="79">
        <v>4.76</v>
      </c>
      <c r="AP19" s="79">
        <v>12.85</v>
      </c>
      <c r="AQ19" s="79">
        <v>5.73</v>
      </c>
      <c r="AR19" s="79">
        <v>11.72</v>
      </c>
      <c r="AS19" s="79">
        <v>9.91</v>
      </c>
      <c r="AT19" s="79">
        <v>8.48</v>
      </c>
      <c r="AU19" s="79">
        <v>4.8</v>
      </c>
      <c r="AV19" s="79">
        <v>6.69</v>
      </c>
      <c r="AW19" s="79">
        <v>21.72</v>
      </c>
      <c r="AX19" s="79">
        <v>10.44</v>
      </c>
      <c r="AY19" s="79">
        <v>3.73</v>
      </c>
      <c r="AZ19" s="79">
        <v>3.66</v>
      </c>
      <c r="BA19" s="79">
        <v>3.26</v>
      </c>
      <c r="BB19" s="79">
        <v>5.76</v>
      </c>
      <c r="BC19" s="79">
        <v>15.21</v>
      </c>
      <c r="BD19" s="79">
        <v>12.38</v>
      </c>
      <c r="BE19" s="79">
        <v>14.93</v>
      </c>
      <c r="BF19" s="79">
        <v>6.46</v>
      </c>
      <c r="BG19" s="81">
        <f t="shared" si="2"/>
        <v>3.43</v>
      </c>
      <c r="BH19" s="79">
        <v>16.89</v>
      </c>
      <c r="BI19" s="79">
        <v>13.66</v>
      </c>
      <c r="BJ19" s="79">
        <v>2.86</v>
      </c>
      <c r="BK19" s="79">
        <v>5.03</v>
      </c>
      <c r="BL19" s="79">
        <v>16.66</v>
      </c>
      <c r="BM19" s="79">
        <v>2.71</v>
      </c>
      <c r="BN19" s="79">
        <v>4.79</v>
      </c>
      <c r="BO19" s="79">
        <v>10.51</v>
      </c>
      <c r="BP19" s="79">
        <v>21</v>
      </c>
      <c r="BQ19" s="79">
        <v>30.19</v>
      </c>
      <c r="BR19" s="79">
        <v>9.96</v>
      </c>
      <c r="BS19" s="79">
        <v>3.9</v>
      </c>
      <c r="BT19" s="79">
        <v>6.01</v>
      </c>
      <c r="BU19" s="79">
        <v>3.68</v>
      </c>
      <c r="BV19" s="79">
        <v>15.01</v>
      </c>
      <c r="BW19" s="79">
        <v>8.8</v>
      </c>
      <c r="BX19" s="79">
        <v>7.92</v>
      </c>
      <c r="BY19" s="79">
        <v>7.57</v>
      </c>
      <c r="BZ19" s="79">
        <v>6.7</v>
      </c>
      <c r="CA19" s="79">
        <v>15.21</v>
      </c>
      <c r="CB19" s="79">
        <v>13.26</v>
      </c>
      <c r="CC19" s="79">
        <v>16.9</v>
      </c>
      <c r="CD19" s="79">
        <v>11.85</v>
      </c>
      <c r="CE19" s="79">
        <v>9.21</v>
      </c>
      <c r="CF19" s="79">
        <v>6.61</v>
      </c>
      <c r="CG19" s="79">
        <v>9.33</v>
      </c>
      <c r="CH19" s="79">
        <v>22.14</v>
      </c>
      <c r="CI19" s="79">
        <v>19.14</v>
      </c>
      <c r="CJ19" s="79">
        <v>5.72</v>
      </c>
      <c r="CK19" s="79">
        <v>4.67</v>
      </c>
      <c r="CL19" s="79">
        <v>3.32</v>
      </c>
      <c r="CM19" s="79">
        <v>3.2</v>
      </c>
      <c r="CN19" s="79">
        <v>16.12</v>
      </c>
      <c r="CO19" s="79">
        <v>13.1</v>
      </c>
      <c r="CP19" s="79">
        <v>18.63</v>
      </c>
      <c r="CQ19" s="79">
        <v>6.8</v>
      </c>
      <c r="CR19" s="81">
        <f t="shared" si="3"/>
        <v>3.21</v>
      </c>
      <c r="CS19" s="79">
        <v>14.42</v>
      </c>
      <c r="CT19" s="79">
        <v>12.4</v>
      </c>
      <c r="CU19" s="79">
        <v>3.59</v>
      </c>
      <c r="CV19" s="79">
        <v>5.53</v>
      </c>
      <c r="CW19" s="79">
        <v>13.22</v>
      </c>
      <c r="CX19" s="79">
        <v>3.69</v>
      </c>
      <c r="CY19" s="79">
        <v>5.66</v>
      </c>
      <c r="CZ19" s="79">
        <v>9.57</v>
      </c>
      <c r="DA19" s="79">
        <v>18.2</v>
      </c>
      <c r="DB19" s="79">
        <v>38.98</v>
      </c>
      <c r="DC19" s="79">
        <v>9.54</v>
      </c>
      <c r="DD19" s="79">
        <v>4.37</v>
      </c>
      <c r="DE19" s="79">
        <v>6.21</v>
      </c>
      <c r="DF19" s="79">
        <v>5.02</v>
      </c>
      <c r="DG19" s="79">
        <v>15.8</v>
      </c>
      <c r="DH19" s="79">
        <v>8.6</v>
      </c>
      <c r="DI19" s="79">
        <v>3.18</v>
      </c>
      <c r="DJ19" s="79">
        <v>9.19</v>
      </c>
      <c r="DK19" s="79">
        <v>5.44</v>
      </c>
      <c r="DL19" s="79">
        <v>11.87</v>
      </c>
      <c r="DM19" s="79">
        <v>9.63</v>
      </c>
      <c r="DN19" s="79">
        <v>23.16</v>
      </c>
      <c r="DO19" s="79">
        <v>11.45</v>
      </c>
      <c r="DP19" s="79">
        <v>7.96</v>
      </c>
      <c r="DQ19" s="79">
        <v>16.86</v>
      </c>
      <c r="DR19" s="79">
        <v>11.76</v>
      </c>
      <c r="DS19" s="79">
        <v>10.19</v>
      </c>
      <c r="DT19" s="79">
        <v>11.79</v>
      </c>
      <c r="DU19" s="79">
        <v>5.36</v>
      </c>
      <c r="DV19" s="79">
        <v>4.71</v>
      </c>
      <c r="DW19" s="79">
        <v>11.4</v>
      </c>
      <c r="DX19" s="79">
        <v>4.06</v>
      </c>
      <c r="DY19" s="53">
        <f t="shared" si="10"/>
        <v>-6.413994169096215</v>
      </c>
      <c r="DZ19" s="34" t="str">
        <f t="shared" si="11"/>
        <v>-</v>
      </c>
    </row>
    <row r="20" spans="1:130" ht="25.5" hidden="1">
      <c r="A20" s="31" t="s">
        <v>168</v>
      </c>
      <c r="B20" s="32" t="s">
        <v>169</v>
      </c>
      <c r="C20" s="78"/>
      <c r="D20" s="66">
        <f>IF(LEFT($M$2,2)&lt;"10",RANK(C20,R20:AA20),RANK(C20,AB20:BB20))</f>
        <v>1</v>
      </c>
      <c r="E20" s="55">
        <f t="shared" si="6"/>
        <v>0</v>
      </c>
      <c r="F20" s="74" t="str">
        <f>HLOOKUP(E20,$R20:$AA$59,40,FALSE)</f>
        <v>Чапаевск</v>
      </c>
      <c r="G20" s="78"/>
      <c r="H20" s="66">
        <f>IF(LEFT($M$2,2)&lt;"10",RANK(G20,BC20:BL20),RANK(G20,BM20:CM20))</f>
        <v>3</v>
      </c>
      <c r="I20" s="55">
        <f t="shared" si="7"/>
        <v>0.11</v>
      </c>
      <c r="J20" s="74" t="e">
        <f>HLOOKUP(I20,$BC20:$CM$59,45,FALSE)</f>
        <v>#REF!</v>
      </c>
      <c r="K20" s="81" t="e">
        <f t="shared" si="0"/>
        <v>#DIV/0!</v>
      </c>
      <c r="L20" s="33">
        <v>7</v>
      </c>
      <c r="M20" s="78"/>
      <c r="N20" s="66">
        <f t="shared" si="8"/>
        <v>1</v>
      </c>
      <c r="O20" s="55">
        <f t="shared" si="9"/>
        <v>0</v>
      </c>
      <c r="P20" s="74" t="e">
        <f>HLOOKUP(O20,$CN20:$DX$59,46,FALSE)</f>
        <v>#REF!</v>
      </c>
      <c r="Q20" s="33"/>
      <c r="R20" s="79"/>
      <c r="S20" s="79"/>
      <c r="T20" s="79"/>
      <c r="U20" s="79"/>
      <c r="V20" s="81">
        <f t="shared" si="1"/>
        <v>0</v>
      </c>
      <c r="W20" s="79"/>
      <c r="X20" s="79"/>
      <c r="Y20" s="79"/>
      <c r="Z20" s="79"/>
      <c r="AA20" s="79"/>
      <c r="AB20" s="79">
        <v>1.5</v>
      </c>
      <c r="AC20" s="79">
        <v>0.79</v>
      </c>
      <c r="AD20" s="79">
        <v>0.08</v>
      </c>
      <c r="AE20" s="79">
        <v>1.71</v>
      </c>
      <c r="AF20" s="79">
        <v>1.09</v>
      </c>
      <c r="AG20" s="79">
        <v>0.73</v>
      </c>
      <c r="AH20" s="79">
        <v>0.2</v>
      </c>
      <c r="AI20" s="79">
        <v>1.12</v>
      </c>
      <c r="AJ20" s="79">
        <v>3.57</v>
      </c>
      <c r="AK20" s="79">
        <v>0.3</v>
      </c>
      <c r="AL20" s="79">
        <v>0.59</v>
      </c>
      <c r="AM20" s="79">
        <v>0.43</v>
      </c>
      <c r="AN20" s="79">
        <v>0.82</v>
      </c>
      <c r="AO20" s="79">
        <v>0.57</v>
      </c>
      <c r="AP20" s="79">
        <v>0.97</v>
      </c>
      <c r="AQ20" s="79">
        <v>0.07</v>
      </c>
      <c r="AR20" s="79">
        <v>0.76</v>
      </c>
      <c r="AS20" s="79">
        <v>1.33</v>
      </c>
      <c r="AT20" s="79">
        <v>0.2</v>
      </c>
      <c r="AU20" s="79">
        <v>1.55</v>
      </c>
      <c r="AV20" s="79">
        <v>0.28</v>
      </c>
      <c r="AW20" s="79">
        <v>2.84</v>
      </c>
      <c r="AX20" s="79">
        <v>0.26</v>
      </c>
      <c r="AY20" s="79">
        <v>3.14</v>
      </c>
      <c r="AZ20" s="79">
        <v>0.09</v>
      </c>
      <c r="BA20" s="79">
        <v>1.56</v>
      </c>
      <c r="BB20" s="79">
        <v>0.54</v>
      </c>
      <c r="BC20" s="79">
        <v>0.03</v>
      </c>
      <c r="BD20" s="79">
        <v>0.11</v>
      </c>
      <c r="BE20" s="79">
        <v>0</v>
      </c>
      <c r="BF20" s="79">
        <v>0</v>
      </c>
      <c r="BG20" s="81">
        <f t="shared" si="2"/>
        <v>0</v>
      </c>
      <c r="BH20" s="79"/>
      <c r="BI20" s="79"/>
      <c r="BJ20" s="79"/>
      <c r="BK20" s="79"/>
      <c r="BL20" s="79"/>
      <c r="BM20" s="79">
        <v>2.39</v>
      </c>
      <c r="BN20" s="79">
        <v>1.43</v>
      </c>
      <c r="BO20" s="79">
        <v>0.39</v>
      </c>
      <c r="BP20" s="79">
        <v>7.39</v>
      </c>
      <c r="BQ20" s="79">
        <v>2.54</v>
      </c>
      <c r="BR20" s="79">
        <v>1.64</v>
      </c>
      <c r="BS20" s="79">
        <v>0.84</v>
      </c>
      <c r="BT20" s="79">
        <v>4.22</v>
      </c>
      <c r="BU20" s="79">
        <v>5.59</v>
      </c>
      <c r="BV20" s="79">
        <v>0.82</v>
      </c>
      <c r="BW20" s="79">
        <v>1.02</v>
      </c>
      <c r="BX20" s="79">
        <v>0.89</v>
      </c>
      <c r="BY20" s="79">
        <v>1.66</v>
      </c>
      <c r="BZ20" s="79">
        <v>0.58</v>
      </c>
      <c r="CA20" s="79">
        <v>2.11</v>
      </c>
      <c r="CB20" s="79">
        <v>0.93</v>
      </c>
      <c r="CC20" s="79">
        <v>0.49</v>
      </c>
      <c r="CD20" s="79">
        <v>1.22</v>
      </c>
      <c r="CE20" s="79">
        <v>0.13</v>
      </c>
      <c r="CF20" s="79">
        <v>2.95</v>
      </c>
      <c r="CG20" s="79">
        <v>0.36</v>
      </c>
      <c r="CH20" s="79">
        <v>3.65</v>
      </c>
      <c r="CI20" s="79">
        <v>1.42</v>
      </c>
      <c r="CJ20" s="79">
        <v>5.7</v>
      </c>
      <c r="CK20" s="79">
        <v>1.19</v>
      </c>
      <c r="CL20" s="79">
        <v>2.82</v>
      </c>
      <c r="CM20" s="79">
        <v>1.25</v>
      </c>
      <c r="CN20" s="79"/>
      <c r="CO20" s="79"/>
      <c r="CP20" s="79"/>
      <c r="CQ20" s="79"/>
      <c r="CR20" s="81">
        <f t="shared" si="3"/>
        <v>0</v>
      </c>
      <c r="CS20" s="79"/>
      <c r="CT20" s="79"/>
      <c r="CU20" s="79"/>
      <c r="CV20" s="79"/>
      <c r="CW20" s="79"/>
      <c r="CX20" s="79">
        <v>1.84</v>
      </c>
      <c r="CY20" s="79">
        <v>2.53</v>
      </c>
      <c r="CZ20" s="79">
        <v>0.36</v>
      </c>
      <c r="DA20" s="79">
        <v>7.16</v>
      </c>
      <c r="DB20" s="79">
        <v>2.25</v>
      </c>
      <c r="DC20" s="79">
        <v>1.69</v>
      </c>
      <c r="DD20" s="79">
        <v>1.68</v>
      </c>
      <c r="DE20" s="79">
        <v>3.74</v>
      </c>
      <c r="DF20" s="79">
        <v>5.36</v>
      </c>
      <c r="DG20" s="79">
        <v>1.36</v>
      </c>
      <c r="DH20" s="79">
        <v>1.63</v>
      </c>
      <c r="DI20" s="79">
        <v>0.78</v>
      </c>
      <c r="DJ20" s="79">
        <v>2.03</v>
      </c>
      <c r="DK20" s="79">
        <v>0.55</v>
      </c>
      <c r="DL20" s="79">
        <v>2.99</v>
      </c>
      <c r="DM20" s="79">
        <v>0.95</v>
      </c>
      <c r="DN20" s="79">
        <v>0.5</v>
      </c>
      <c r="DO20" s="79">
        <v>1.91</v>
      </c>
      <c r="DP20" s="79">
        <v>0.16</v>
      </c>
      <c r="DQ20" s="79">
        <v>4.18</v>
      </c>
      <c r="DR20" s="79">
        <v>0.38</v>
      </c>
      <c r="DS20" s="79">
        <v>2.08</v>
      </c>
      <c r="DT20" s="79">
        <v>1.53</v>
      </c>
      <c r="DU20" s="79">
        <v>8.12</v>
      </c>
      <c r="DV20" s="79">
        <v>1.18</v>
      </c>
      <c r="DW20" s="79">
        <v>1.49</v>
      </c>
      <c r="DX20" s="79">
        <v>1.81</v>
      </c>
      <c r="DY20" s="53" t="e">
        <f t="shared" si="10"/>
        <v>#DIV/0!</v>
      </c>
      <c r="DZ20" s="34" t="str">
        <f t="shared" si="11"/>
        <v>+</v>
      </c>
    </row>
    <row r="21" spans="1:130" ht="17.25" customHeight="1">
      <c r="A21" s="31" t="s">
        <v>170</v>
      </c>
      <c r="B21" s="32" t="s">
        <v>171</v>
      </c>
      <c r="C21" s="78">
        <v>41.98</v>
      </c>
      <c r="D21" s="66">
        <f>IF(LEFT($M$2,2)&lt;"11",RANK(C21,R21:AA21),RANK(C21,AB21:BB21))</f>
        <v>3</v>
      </c>
      <c r="E21" s="55">
        <f>IF(LEFT($M$2)&lt;"10",MAXA(R21:AA21),MAXA(AB21:BB21))</f>
        <v>100.14</v>
      </c>
      <c r="F21" s="74" t="str">
        <f>HLOOKUP(E21,$R21:$AA$59,39,FALSE)</f>
        <v>Тольятти</v>
      </c>
      <c r="G21" s="78">
        <v>15.36</v>
      </c>
      <c r="H21" s="66">
        <f>IF(LEFT($M$2,2)&lt;"11",RANK(G21,BC21:BL21),RANK(G21,BM21:CM21))</f>
        <v>7</v>
      </c>
      <c r="I21" s="55">
        <f t="shared" si="7"/>
        <v>108.7</v>
      </c>
      <c r="J21" s="74" t="str">
        <f>HLOOKUP(I21,$BC21:$CM$59,39,FALSE)</f>
        <v>Самара</v>
      </c>
      <c r="K21" s="81">
        <f t="shared" si="0"/>
        <v>-63.41</v>
      </c>
      <c r="L21" s="45" t="s">
        <v>239</v>
      </c>
      <c r="M21" s="78">
        <v>38.34</v>
      </c>
      <c r="N21" s="66">
        <f t="shared" si="8"/>
        <v>6</v>
      </c>
      <c r="O21" s="55">
        <f t="shared" si="9"/>
        <v>119.15</v>
      </c>
      <c r="P21" s="74" t="str">
        <f>HLOOKUP(O21,$CN21:$DX$59,39,FALSE)</f>
        <v>Самара</v>
      </c>
      <c r="Q21" s="33"/>
      <c r="R21" s="79">
        <v>88.7</v>
      </c>
      <c r="S21" s="79">
        <v>100.14</v>
      </c>
      <c r="T21" s="79">
        <v>16.54</v>
      </c>
      <c r="U21" s="79">
        <v>13.45</v>
      </c>
      <c r="V21" s="81">
        <f t="shared" si="1"/>
        <v>41.98</v>
      </c>
      <c r="W21" s="79">
        <v>3.62</v>
      </c>
      <c r="X21" s="79">
        <v>32.02</v>
      </c>
      <c r="Y21" s="79">
        <v>14.42</v>
      </c>
      <c r="Z21" s="79">
        <v>33.11</v>
      </c>
      <c r="AA21" s="79">
        <v>21.84</v>
      </c>
      <c r="AB21" s="79">
        <v>3.93</v>
      </c>
      <c r="AC21" s="79">
        <v>9.88</v>
      </c>
      <c r="AD21" s="79">
        <v>12.41</v>
      </c>
      <c r="AE21" s="79">
        <v>4.66</v>
      </c>
      <c r="AF21" s="79">
        <v>7.54</v>
      </c>
      <c r="AG21" s="79">
        <v>5.4</v>
      </c>
      <c r="AH21" s="79">
        <v>24.33</v>
      </c>
      <c r="AI21" s="79">
        <v>4.65</v>
      </c>
      <c r="AJ21" s="79">
        <v>4.37</v>
      </c>
      <c r="AK21" s="79">
        <v>1.81</v>
      </c>
      <c r="AL21" s="79">
        <v>12.67</v>
      </c>
      <c r="AM21" s="79">
        <v>3.84</v>
      </c>
      <c r="AN21" s="79">
        <v>3.64</v>
      </c>
      <c r="AO21" s="79">
        <v>5.87</v>
      </c>
      <c r="AP21" s="79">
        <v>10.86</v>
      </c>
      <c r="AQ21" s="79">
        <v>14.68</v>
      </c>
      <c r="AR21" s="79">
        <v>6.85</v>
      </c>
      <c r="AS21" s="79">
        <v>2.71</v>
      </c>
      <c r="AT21" s="79">
        <v>3.71</v>
      </c>
      <c r="AU21" s="79">
        <v>5.49</v>
      </c>
      <c r="AV21" s="79">
        <v>4.67</v>
      </c>
      <c r="AW21" s="79">
        <v>54.57</v>
      </c>
      <c r="AX21" s="79">
        <v>13.33</v>
      </c>
      <c r="AY21" s="79">
        <v>10.64</v>
      </c>
      <c r="AZ21" s="79">
        <v>1.24</v>
      </c>
      <c r="BA21" s="79">
        <v>1.18</v>
      </c>
      <c r="BB21" s="79">
        <v>103.18</v>
      </c>
      <c r="BC21" s="79">
        <v>108.7</v>
      </c>
      <c r="BD21" s="79">
        <v>87.08</v>
      </c>
      <c r="BE21" s="79">
        <v>22.3</v>
      </c>
      <c r="BF21" s="79">
        <v>14.75</v>
      </c>
      <c r="BG21" s="81">
        <f t="shared" si="2"/>
        <v>15.36</v>
      </c>
      <c r="BH21" s="79">
        <v>4.52</v>
      </c>
      <c r="BI21" s="79">
        <v>32.59</v>
      </c>
      <c r="BJ21" s="79">
        <v>13.63</v>
      </c>
      <c r="BK21" s="79">
        <v>34.28</v>
      </c>
      <c r="BL21" s="79">
        <v>21.76</v>
      </c>
      <c r="BM21" s="79">
        <v>2.66</v>
      </c>
      <c r="BN21" s="79">
        <v>12.26</v>
      </c>
      <c r="BO21" s="79">
        <v>13.83</v>
      </c>
      <c r="BP21" s="79">
        <v>17.99</v>
      </c>
      <c r="BQ21" s="79">
        <v>11.61</v>
      </c>
      <c r="BR21" s="79">
        <v>13.7</v>
      </c>
      <c r="BS21" s="79">
        <v>23.25</v>
      </c>
      <c r="BT21" s="79">
        <v>7.9</v>
      </c>
      <c r="BU21" s="79">
        <v>7.05</v>
      </c>
      <c r="BV21" s="79">
        <v>-0.27</v>
      </c>
      <c r="BW21" s="79">
        <v>11.78</v>
      </c>
      <c r="BX21" s="79">
        <v>5.06</v>
      </c>
      <c r="BY21" s="79">
        <v>2.95</v>
      </c>
      <c r="BZ21" s="79">
        <v>1.77</v>
      </c>
      <c r="CA21" s="79">
        <v>15.92</v>
      </c>
      <c r="CB21" s="79">
        <v>20.34</v>
      </c>
      <c r="CC21" s="79">
        <v>8.32</v>
      </c>
      <c r="CD21" s="79">
        <v>11.3</v>
      </c>
      <c r="CE21" s="79">
        <v>6.55</v>
      </c>
      <c r="CF21" s="79">
        <v>5.25</v>
      </c>
      <c r="CG21" s="79">
        <v>5.85</v>
      </c>
      <c r="CH21" s="79">
        <v>66.51</v>
      </c>
      <c r="CI21" s="79">
        <v>17.27</v>
      </c>
      <c r="CJ21" s="79">
        <v>9.68</v>
      </c>
      <c r="CK21" s="79">
        <v>2.59</v>
      </c>
      <c r="CL21" s="79">
        <v>2.06</v>
      </c>
      <c r="CM21" s="79">
        <v>67.09</v>
      </c>
      <c r="CN21" s="79">
        <v>119.15</v>
      </c>
      <c r="CO21" s="79">
        <v>107.45</v>
      </c>
      <c r="CP21" s="79">
        <v>54.11</v>
      </c>
      <c r="CQ21" s="79">
        <v>32.75</v>
      </c>
      <c r="CR21" s="81">
        <f t="shared" si="3"/>
        <v>38.34</v>
      </c>
      <c r="CS21" s="79">
        <v>47.17</v>
      </c>
      <c r="CT21" s="79">
        <v>29.64</v>
      </c>
      <c r="CU21" s="79">
        <v>22.96</v>
      </c>
      <c r="CV21" s="79">
        <v>52.8</v>
      </c>
      <c r="CW21" s="79">
        <v>23.78</v>
      </c>
      <c r="CX21" s="79">
        <v>32.5</v>
      </c>
      <c r="CY21" s="79">
        <v>24.11</v>
      </c>
      <c r="CZ21" s="79">
        <v>14.92</v>
      </c>
      <c r="DA21" s="79">
        <v>10.3</v>
      </c>
      <c r="DB21" s="79">
        <v>15.83</v>
      </c>
      <c r="DC21" s="79">
        <v>17.42</v>
      </c>
      <c r="DD21" s="79">
        <v>24.9</v>
      </c>
      <c r="DE21" s="79">
        <v>15.79</v>
      </c>
      <c r="DF21" s="79">
        <v>13.2</v>
      </c>
      <c r="DG21" s="79">
        <v>2.01</v>
      </c>
      <c r="DH21" s="79">
        <v>51.39</v>
      </c>
      <c r="DI21" s="79">
        <v>3.48</v>
      </c>
      <c r="DJ21" s="79">
        <v>8.58</v>
      </c>
      <c r="DK21" s="79">
        <v>4.52</v>
      </c>
      <c r="DL21" s="79">
        <v>69.02</v>
      </c>
      <c r="DM21" s="79">
        <v>23.29</v>
      </c>
      <c r="DN21" s="79">
        <v>35.61</v>
      </c>
      <c r="DO21" s="79">
        <v>35.03</v>
      </c>
      <c r="DP21" s="79">
        <v>13.33</v>
      </c>
      <c r="DQ21" s="79"/>
      <c r="DR21" s="79">
        <v>25.66</v>
      </c>
      <c r="DS21" s="79">
        <v>137.6</v>
      </c>
      <c r="DT21" s="79">
        <v>35.45</v>
      </c>
      <c r="DU21" s="79">
        <v>11.1</v>
      </c>
      <c r="DV21" s="79">
        <v>3.33</v>
      </c>
      <c r="DW21" s="79">
        <v>19.62</v>
      </c>
      <c r="DX21" s="79">
        <v>67.27</v>
      </c>
      <c r="DY21" s="53">
        <f t="shared" si="10"/>
        <v>149.60937500000003</v>
      </c>
      <c r="DZ21" s="34" t="str">
        <f t="shared" si="11"/>
        <v>+</v>
      </c>
    </row>
    <row r="22" spans="1:130" ht="38.25" hidden="1">
      <c r="A22" s="31" t="s">
        <v>172</v>
      </c>
      <c r="B22" s="32" t="s">
        <v>173</v>
      </c>
      <c r="C22" s="78">
        <v>3251.57</v>
      </c>
      <c r="D22" s="66">
        <f>IF(LEFT($M$2,2)&lt;"10",RANK(C22,R22:AA22),RANK(C22,AB22:BB22))</f>
        <v>8</v>
      </c>
      <c r="E22" s="55">
        <f>IF(LEFT($M$2)&lt;"10",MAXA(R22:AB22),MAXA(AC22:BB22))</f>
        <v>67150.96</v>
      </c>
      <c r="F22" s="74" t="e">
        <f>HLOOKUP(E22,$R22:$AA$59,45,FALSE)</f>
        <v>#REF!</v>
      </c>
      <c r="G22" s="78">
        <v>2285</v>
      </c>
      <c r="H22" s="66">
        <f>IF(LEFT($M$2,2)&lt;"10",RANK(G22,BC22:BL22),RANK(G22,BM22:CM22))</f>
        <v>9</v>
      </c>
      <c r="I22" s="55">
        <f t="shared" si="7"/>
        <v>76317.79</v>
      </c>
      <c r="J22" s="74" t="e">
        <f>HLOOKUP(I22,$BC22:$CM$59,45,FALSE)</f>
        <v>#REF!</v>
      </c>
      <c r="K22" s="81">
        <f t="shared" si="0"/>
        <v>-29.73</v>
      </c>
      <c r="L22" s="33"/>
      <c r="M22" s="78"/>
      <c r="N22" s="66">
        <f t="shared" si="8"/>
        <v>1</v>
      </c>
      <c r="O22" s="55">
        <f t="shared" si="9"/>
        <v>0</v>
      </c>
      <c r="P22" s="74" t="e">
        <f>HLOOKUP(O22,$CN22:$DX$59,46,FALSE)</f>
        <v>#REF!</v>
      </c>
      <c r="Q22" s="33"/>
      <c r="R22" s="79">
        <v>67150.96</v>
      </c>
      <c r="S22" s="79">
        <v>19980.61</v>
      </c>
      <c r="T22" s="79">
        <v>27246.82</v>
      </c>
      <c r="U22" s="79">
        <v>8136.87</v>
      </c>
      <c r="V22" s="81">
        <f t="shared" si="1"/>
        <v>3251.57</v>
      </c>
      <c r="W22" s="79">
        <v>3522.53</v>
      </c>
      <c r="X22" s="79">
        <v>9939.91</v>
      </c>
      <c r="Y22" s="79">
        <v>1994.1</v>
      </c>
      <c r="Z22" s="79">
        <v>21779.46</v>
      </c>
      <c r="AA22" s="79">
        <v>226.68</v>
      </c>
      <c r="AB22" s="79">
        <v>376.9</v>
      </c>
      <c r="AC22" s="79">
        <v>3854.82</v>
      </c>
      <c r="AD22" s="79">
        <v>1064.55</v>
      </c>
      <c r="AE22" s="79">
        <v>4157.04</v>
      </c>
      <c r="AF22" s="79">
        <v>3207.23</v>
      </c>
      <c r="AG22" s="79">
        <v>232.61</v>
      </c>
      <c r="AH22" s="79">
        <v>8357.22</v>
      </c>
      <c r="AI22" s="79">
        <v>4828.6</v>
      </c>
      <c r="AJ22" s="79">
        <v>971.84</v>
      </c>
      <c r="AK22" s="79">
        <v>2396.35</v>
      </c>
      <c r="AL22" s="79">
        <v>5062.9</v>
      </c>
      <c r="AM22" s="79">
        <v>2204.8</v>
      </c>
      <c r="AN22" s="79">
        <v>4770.12</v>
      </c>
      <c r="AO22" s="79">
        <v>7073.71</v>
      </c>
      <c r="AP22" s="79">
        <v>473.3</v>
      </c>
      <c r="AQ22" s="79">
        <v>3135.54</v>
      </c>
      <c r="AR22" s="79">
        <v>2023.49</v>
      </c>
      <c r="AS22" s="79">
        <v>3153.78</v>
      </c>
      <c r="AT22" s="79">
        <v>1344.56</v>
      </c>
      <c r="AU22" s="79">
        <v>1678.68</v>
      </c>
      <c r="AV22" s="79">
        <v>4729.5</v>
      </c>
      <c r="AW22" s="79">
        <v>796.29</v>
      </c>
      <c r="AX22" s="79">
        <v>1533.94</v>
      </c>
      <c r="AY22" s="79">
        <v>3166.4</v>
      </c>
      <c r="AZ22" s="79">
        <v>1537.2</v>
      </c>
      <c r="BA22" s="79">
        <v>2877.27</v>
      </c>
      <c r="BB22" s="79">
        <v>3057.6</v>
      </c>
      <c r="BC22" s="79">
        <v>76317.79</v>
      </c>
      <c r="BD22" s="79">
        <v>25538.68</v>
      </c>
      <c r="BE22" s="79">
        <v>29426.44</v>
      </c>
      <c r="BF22" s="79">
        <v>21295.94</v>
      </c>
      <c r="BG22" s="81">
        <f t="shared" si="2"/>
        <v>2285</v>
      </c>
      <c r="BH22" s="79">
        <v>11781.82</v>
      </c>
      <c r="BI22" s="79">
        <v>7604.62</v>
      </c>
      <c r="BJ22" s="79">
        <v>4906.26</v>
      </c>
      <c r="BK22" s="79">
        <v>7491.09</v>
      </c>
      <c r="BL22" s="79">
        <v>234.56</v>
      </c>
      <c r="BM22" s="79">
        <v>2655.38</v>
      </c>
      <c r="BN22" s="79">
        <v>6126.44</v>
      </c>
      <c r="BO22" s="79">
        <v>1140.34</v>
      </c>
      <c r="BP22" s="79">
        <v>2209.62</v>
      </c>
      <c r="BQ22" s="79">
        <v>11637.72</v>
      </c>
      <c r="BR22" s="79">
        <v>1333.8</v>
      </c>
      <c r="BS22" s="79">
        <v>7813.82</v>
      </c>
      <c r="BT22" s="79">
        <v>5087.1</v>
      </c>
      <c r="BU22" s="79">
        <v>1514.37</v>
      </c>
      <c r="BV22" s="79">
        <v>2056.5</v>
      </c>
      <c r="BW22" s="79">
        <v>6385.79</v>
      </c>
      <c r="BX22" s="79">
        <v>1357.86</v>
      </c>
      <c r="BY22" s="79">
        <v>3815.49</v>
      </c>
      <c r="BZ22" s="79">
        <v>6015.05</v>
      </c>
      <c r="CA22" s="79">
        <v>902.58</v>
      </c>
      <c r="CB22" s="79">
        <v>2975.22</v>
      </c>
      <c r="CC22" s="79">
        <v>16439.33</v>
      </c>
      <c r="CD22" s="79">
        <v>6176.31</v>
      </c>
      <c r="CE22" s="79">
        <v>812.39</v>
      </c>
      <c r="CF22" s="79">
        <v>273.22</v>
      </c>
      <c r="CG22" s="79">
        <v>7424.65</v>
      </c>
      <c r="CH22" s="79">
        <v>3959.63</v>
      </c>
      <c r="CI22" s="79">
        <v>2362.51</v>
      </c>
      <c r="CJ22" s="79">
        <v>4906.38</v>
      </c>
      <c r="CK22" s="79">
        <v>1647.51</v>
      </c>
      <c r="CL22" s="79">
        <v>4400.54</v>
      </c>
      <c r="CM22" s="79">
        <v>2887.89</v>
      </c>
      <c r="CN22" s="79"/>
      <c r="CO22" s="79"/>
      <c r="CP22" s="79"/>
      <c r="CQ22" s="79"/>
      <c r="CR22" s="81">
        <f t="shared" si="3"/>
        <v>0</v>
      </c>
      <c r="CS22" s="79"/>
      <c r="CT22" s="79"/>
      <c r="CU22" s="79"/>
      <c r="CV22" s="79"/>
      <c r="CW22" s="79"/>
      <c r="CX22" s="79"/>
      <c r="CY22" s="79"/>
      <c r="CZ22" s="79"/>
      <c r="DA22" s="79"/>
      <c r="DB22" s="79"/>
      <c r="DC22" s="79"/>
      <c r="DD22" s="79"/>
      <c r="DE22" s="79"/>
      <c r="DF22" s="79"/>
      <c r="DG22" s="79"/>
      <c r="DH22" s="79"/>
      <c r="DI22" s="79"/>
      <c r="DJ22" s="79"/>
      <c r="DK22" s="79"/>
      <c r="DL22" s="79"/>
      <c r="DM22" s="79"/>
      <c r="DN22" s="79"/>
      <c r="DO22" s="79"/>
      <c r="DP22" s="79"/>
      <c r="DQ22" s="79"/>
      <c r="DR22" s="79"/>
      <c r="DS22" s="79"/>
      <c r="DT22" s="79"/>
      <c r="DU22" s="79"/>
      <c r="DV22" s="79"/>
      <c r="DW22" s="79"/>
      <c r="DX22" s="79"/>
      <c r="DY22" s="53">
        <f t="shared" si="10"/>
        <v>-100</v>
      </c>
      <c r="DZ22" s="34" t="str">
        <f t="shared" si="11"/>
        <v>+</v>
      </c>
    </row>
    <row r="23" spans="1:130" ht="38.25" hidden="1">
      <c r="A23" s="31" t="s">
        <v>197</v>
      </c>
      <c r="B23" s="32" t="s">
        <v>198</v>
      </c>
      <c r="C23" s="78"/>
      <c r="D23" s="66">
        <f>IF(LEFT($M$2,2)&lt;"10",RANK(C23,R23:AA23),RANK(C23,AB23:BB23))</f>
        <v>1</v>
      </c>
      <c r="E23" s="55">
        <f>IF(LEFT($M$2)&lt;"10",MAXA(R23:AB23),MAXA(AC23:BB23))</f>
        <v>2.18</v>
      </c>
      <c r="F23" s="74" t="e">
        <f>HLOOKUP(E23,$R23:$AA$59,45,FALSE)</f>
        <v>#N/A</v>
      </c>
      <c r="G23" s="78">
        <v>0</v>
      </c>
      <c r="H23" s="66">
        <f>IF(LEFT($M$2,2)&lt;"10",RANK(G23,BC23:BL23),RANK(G23,BM23:CM23))</f>
        <v>1</v>
      </c>
      <c r="I23" s="55">
        <f t="shared" si="7"/>
        <v>0</v>
      </c>
      <c r="J23" s="74" t="e">
        <f>HLOOKUP(I23,$BC23:$CM$59,45,FALSE)</f>
        <v>#REF!</v>
      </c>
      <c r="K23" s="81" t="e">
        <f t="shared" si="0"/>
        <v>#DIV/0!</v>
      </c>
      <c r="L23" s="33"/>
      <c r="M23" s="78"/>
      <c r="N23" s="66">
        <f t="shared" si="8"/>
        <v>1</v>
      </c>
      <c r="O23" s="55">
        <f t="shared" si="9"/>
        <v>0</v>
      </c>
      <c r="P23" s="74" t="e">
        <f>HLOOKUP(O23,$CN23:$DX$59,46,FALSE)</f>
        <v>#REF!</v>
      </c>
      <c r="Q23" s="33"/>
      <c r="R23" s="79"/>
      <c r="S23" s="79"/>
      <c r="T23" s="79"/>
      <c r="U23" s="79"/>
      <c r="V23" s="81">
        <f t="shared" si="1"/>
        <v>0</v>
      </c>
      <c r="W23" s="79"/>
      <c r="X23" s="79"/>
      <c r="Y23" s="79"/>
      <c r="Z23" s="79"/>
      <c r="AA23" s="79"/>
      <c r="AB23" s="79">
        <v>2.18</v>
      </c>
      <c r="AC23" s="79">
        <v>36.41</v>
      </c>
      <c r="AD23" s="79">
        <v>3.51</v>
      </c>
      <c r="AE23" s="79">
        <v>2.61</v>
      </c>
      <c r="AF23" s="79">
        <v>2.36</v>
      </c>
      <c r="AG23" s="79">
        <v>74.53</v>
      </c>
      <c r="AH23" s="79">
        <v>75.84</v>
      </c>
      <c r="AI23" s="79">
        <v>10.72</v>
      </c>
      <c r="AJ23" s="79">
        <v>3123.23</v>
      </c>
      <c r="AK23" s="79">
        <v>3.86</v>
      </c>
      <c r="AL23" s="79">
        <v>18.51</v>
      </c>
      <c r="AM23" s="79">
        <v>8.31</v>
      </c>
      <c r="AN23" s="79">
        <v>0.23</v>
      </c>
      <c r="AO23" s="79">
        <v>154.55</v>
      </c>
      <c r="AP23" s="79">
        <v>5.5</v>
      </c>
      <c r="AQ23" s="79">
        <v>5.46</v>
      </c>
      <c r="AR23" s="79">
        <v>28.31</v>
      </c>
      <c r="AS23" s="79">
        <v>67.07</v>
      </c>
      <c r="AT23" s="79">
        <v>2.82</v>
      </c>
      <c r="AU23" s="79">
        <v>4.77</v>
      </c>
      <c r="AV23" s="79">
        <v>1.79</v>
      </c>
      <c r="AW23" s="79">
        <v>139.66</v>
      </c>
      <c r="AX23" s="79">
        <v>447.66</v>
      </c>
      <c r="AY23" s="79">
        <v>7.7</v>
      </c>
      <c r="AZ23" s="79">
        <v>0.68</v>
      </c>
      <c r="BA23" s="79">
        <v>0.12</v>
      </c>
      <c r="BB23" s="79">
        <v>68.98</v>
      </c>
      <c r="BC23" s="79">
        <v>0</v>
      </c>
      <c r="BD23" s="79">
        <v>0</v>
      </c>
      <c r="BE23" s="79">
        <v>0</v>
      </c>
      <c r="BF23" s="79">
        <v>0</v>
      </c>
      <c r="BG23" s="81">
        <f t="shared" si="2"/>
        <v>0</v>
      </c>
      <c r="BH23" s="79">
        <v>0</v>
      </c>
      <c r="BI23" s="79">
        <v>0</v>
      </c>
      <c r="BJ23" s="79">
        <v>0</v>
      </c>
      <c r="BK23" s="79">
        <v>0</v>
      </c>
      <c r="BL23" s="79">
        <v>0</v>
      </c>
      <c r="BM23" s="79">
        <v>2.9</v>
      </c>
      <c r="BN23" s="79">
        <v>7.79</v>
      </c>
      <c r="BO23" s="79">
        <v>0.99</v>
      </c>
      <c r="BP23" s="79">
        <v>17.85</v>
      </c>
      <c r="BQ23" s="79">
        <v>15.02</v>
      </c>
      <c r="BR23" s="79">
        <v>5.79</v>
      </c>
      <c r="BS23" s="79">
        <v>30796.42</v>
      </c>
      <c r="BT23" s="79">
        <v>4.35</v>
      </c>
      <c r="BU23" s="79">
        <v>1195.75</v>
      </c>
      <c r="BV23" s="79">
        <v>0</v>
      </c>
      <c r="BW23" s="79">
        <v>20.96</v>
      </c>
      <c r="BX23" s="79">
        <v>8.72</v>
      </c>
      <c r="BY23" s="79">
        <v>2</v>
      </c>
      <c r="BZ23" s="79">
        <v>665.46</v>
      </c>
      <c r="CA23" s="79">
        <v>4.76</v>
      </c>
      <c r="CB23" s="79">
        <v>5.48</v>
      </c>
      <c r="CC23" s="79">
        <v>28.16</v>
      </c>
      <c r="CD23" s="79">
        <v>58.62</v>
      </c>
      <c r="CE23" s="79">
        <v>6.88</v>
      </c>
      <c r="CF23" s="79">
        <v>3.32</v>
      </c>
      <c r="CG23" s="79">
        <v>2.52</v>
      </c>
      <c r="CH23" s="79">
        <v>25498.66</v>
      </c>
      <c r="CI23" s="79">
        <v>14.27</v>
      </c>
      <c r="CJ23" s="79">
        <v>6.69</v>
      </c>
      <c r="CK23" s="79">
        <v>25.1</v>
      </c>
      <c r="CL23" s="79">
        <v>179.55</v>
      </c>
      <c r="CM23" s="79">
        <v>28.07</v>
      </c>
      <c r="CN23" s="79"/>
      <c r="CO23" s="79"/>
      <c r="CP23" s="79"/>
      <c r="CQ23" s="79"/>
      <c r="CR23" s="81">
        <f t="shared" si="3"/>
        <v>0</v>
      </c>
      <c r="CS23" s="79"/>
      <c r="CT23" s="79"/>
      <c r="CU23" s="79"/>
      <c r="CV23" s="79"/>
      <c r="CW23" s="79"/>
      <c r="CX23" s="79"/>
      <c r="CY23" s="79"/>
      <c r="CZ23" s="79"/>
      <c r="DA23" s="79"/>
      <c r="DB23" s="79"/>
      <c r="DC23" s="79"/>
      <c r="DD23" s="79"/>
      <c r="DE23" s="79"/>
      <c r="DF23" s="79"/>
      <c r="DG23" s="79"/>
      <c r="DH23" s="79"/>
      <c r="DI23" s="79"/>
      <c r="DJ23" s="79"/>
      <c r="DK23" s="79"/>
      <c r="DL23" s="79"/>
      <c r="DM23" s="79"/>
      <c r="DN23" s="79"/>
      <c r="DO23" s="79"/>
      <c r="DP23" s="79"/>
      <c r="DQ23" s="79"/>
      <c r="DR23" s="79"/>
      <c r="DS23" s="79"/>
      <c r="DT23" s="79"/>
      <c r="DU23" s="79"/>
      <c r="DV23" s="79"/>
      <c r="DW23" s="79"/>
      <c r="DX23" s="79"/>
      <c r="DY23" s="53" t="e">
        <f t="shared" si="10"/>
        <v>#DIV/0!</v>
      </c>
      <c r="DZ23" s="34" t="str">
        <f t="shared" si="11"/>
        <v>=</v>
      </c>
    </row>
    <row r="24" spans="1:130" ht="15" customHeight="1">
      <c r="A24" s="37" t="s">
        <v>222</v>
      </c>
      <c r="B24" s="32" t="s">
        <v>223</v>
      </c>
      <c r="C24" s="58">
        <f>SUM(C22:C23)</f>
        <v>3251.57</v>
      </c>
      <c r="D24" s="66">
        <f>IF(LEFT($M$2,2)&lt;"11",RANK(C24,R24:AA24),RANK(C24,AB24:BB24))</f>
        <v>8</v>
      </c>
      <c r="E24" s="55">
        <f>IF(LEFT($M$2)&lt;"10",MAXA(R24:AA24),MAXA(AB24:BB24))</f>
        <v>67150.96</v>
      </c>
      <c r="F24" s="74" t="str">
        <f>HLOOKUP(E24,$R56:$AA$59,4,FALSE)</f>
        <v> Самара</v>
      </c>
      <c r="G24" s="58">
        <f aca="true" t="shared" si="12" ref="G24:BR24">SUM(G22:G23)</f>
        <v>2285</v>
      </c>
      <c r="H24" s="66">
        <f>IF(LEFT($M$2,2)&lt;"11",RANK(G24,BC24:BL24),RANK(G24,BM24:CM24))</f>
        <v>9</v>
      </c>
      <c r="I24" s="55">
        <f t="shared" si="7"/>
        <v>76317.79</v>
      </c>
      <c r="J24" s="74" t="str">
        <f>HLOOKUP(I24,$BC56:$CM$59,4,FALSE)</f>
        <v>Самара</v>
      </c>
      <c r="K24" s="47">
        <f>G24/C24*100-100</f>
        <v>-29.726255316662417</v>
      </c>
      <c r="L24" s="33">
        <v>7</v>
      </c>
      <c r="M24" s="82" t="s">
        <v>239</v>
      </c>
      <c r="N24" s="83" t="s">
        <v>239</v>
      </c>
      <c r="O24" s="84" t="s">
        <v>239</v>
      </c>
      <c r="P24" s="84" t="s">
        <v>239</v>
      </c>
      <c r="Q24" s="33">
        <f t="shared" si="12"/>
        <v>0</v>
      </c>
      <c r="R24" s="33">
        <f t="shared" si="12"/>
        <v>67150.96</v>
      </c>
      <c r="S24" s="33">
        <f t="shared" si="12"/>
        <v>19980.61</v>
      </c>
      <c r="T24" s="33">
        <f t="shared" si="12"/>
        <v>27246.82</v>
      </c>
      <c r="U24" s="33">
        <f t="shared" si="12"/>
        <v>8136.87</v>
      </c>
      <c r="V24" s="33">
        <f t="shared" si="12"/>
        <v>3251.57</v>
      </c>
      <c r="W24" s="33">
        <f t="shared" si="12"/>
        <v>3522.53</v>
      </c>
      <c r="X24" s="33">
        <f t="shared" si="12"/>
        <v>9939.91</v>
      </c>
      <c r="Y24" s="33">
        <f t="shared" si="12"/>
        <v>1994.1</v>
      </c>
      <c r="Z24" s="33">
        <f t="shared" si="12"/>
        <v>21779.46</v>
      </c>
      <c r="AA24" s="33">
        <f t="shared" si="12"/>
        <v>226.68</v>
      </c>
      <c r="AB24" s="33">
        <f t="shared" si="12"/>
        <v>379.08</v>
      </c>
      <c r="AC24" s="33">
        <f t="shared" si="12"/>
        <v>3891.23</v>
      </c>
      <c r="AD24" s="33">
        <f t="shared" si="12"/>
        <v>1068.06</v>
      </c>
      <c r="AE24" s="33">
        <f t="shared" si="12"/>
        <v>4159.65</v>
      </c>
      <c r="AF24" s="33">
        <f t="shared" si="12"/>
        <v>3209.59</v>
      </c>
      <c r="AG24" s="33">
        <f t="shared" si="12"/>
        <v>307.14</v>
      </c>
      <c r="AH24" s="33">
        <f t="shared" si="12"/>
        <v>8433.06</v>
      </c>
      <c r="AI24" s="33">
        <f t="shared" si="12"/>
        <v>4839.320000000001</v>
      </c>
      <c r="AJ24" s="33">
        <f t="shared" si="12"/>
        <v>4095.07</v>
      </c>
      <c r="AK24" s="33">
        <f t="shared" si="12"/>
        <v>2400.21</v>
      </c>
      <c r="AL24" s="33">
        <f t="shared" si="12"/>
        <v>5081.41</v>
      </c>
      <c r="AM24" s="33">
        <f t="shared" si="12"/>
        <v>2213.11</v>
      </c>
      <c r="AN24" s="33">
        <f t="shared" si="12"/>
        <v>4770.349999999999</v>
      </c>
      <c r="AO24" s="33">
        <f t="shared" si="12"/>
        <v>7228.26</v>
      </c>
      <c r="AP24" s="33">
        <f t="shared" si="12"/>
        <v>478.8</v>
      </c>
      <c r="AQ24" s="33">
        <f t="shared" si="12"/>
        <v>3141</v>
      </c>
      <c r="AR24" s="33">
        <f t="shared" si="12"/>
        <v>2051.8</v>
      </c>
      <c r="AS24" s="33">
        <f t="shared" si="12"/>
        <v>3220.8500000000004</v>
      </c>
      <c r="AT24" s="33">
        <f t="shared" si="12"/>
        <v>1347.3799999999999</v>
      </c>
      <c r="AU24" s="33">
        <f t="shared" si="12"/>
        <v>1683.45</v>
      </c>
      <c r="AV24" s="33">
        <f t="shared" si="12"/>
        <v>4731.29</v>
      </c>
      <c r="AW24" s="33">
        <f t="shared" si="12"/>
        <v>935.9499999999999</v>
      </c>
      <c r="AX24" s="33">
        <f t="shared" si="12"/>
        <v>1981.6000000000001</v>
      </c>
      <c r="AY24" s="33">
        <f t="shared" si="12"/>
        <v>3174.1</v>
      </c>
      <c r="AZ24" s="33">
        <f t="shared" si="12"/>
        <v>1537.88</v>
      </c>
      <c r="BA24" s="33">
        <f t="shared" si="12"/>
        <v>2877.39</v>
      </c>
      <c r="BB24" s="33">
        <f t="shared" si="12"/>
        <v>3126.58</v>
      </c>
      <c r="BC24" s="33">
        <f>SUM(BC22:BC23)</f>
        <v>76317.79</v>
      </c>
      <c r="BD24" s="33">
        <f t="shared" si="12"/>
        <v>25538.68</v>
      </c>
      <c r="BE24" s="33">
        <f t="shared" si="12"/>
        <v>29426.44</v>
      </c>
      <c r="BF24" s="33">
        <f t="shared" si="12"/>
        <v>21295.94</v>
      </c>
      <c r="BG24" s="33">
        <f t="shared" si="12"/>
        <v>2285</v>
      </c>
      <c r="BH24" s="33">
        <f t="shared" si="12"/>
        <v>11781.82</v>
      </c>
      <c r="BI24" s="33">
        <f t="shared" si="12"/>
        <v>7604.62</v>
      </c>
      <c r="BJ24" s="33">
        <f t="shared" si="12"/>
        <v>4906.26</v>
      </c>
      <c r="BK24" s="33">
        <f t="shared" si="12"/>
        <v>7491.09</v>
      </c>
      <c r="BL24" s="33">
        <f t="shared" si="12"/>
        <v>234.56</v>
      </c>
      <c r="BM24" s="33">
        <f t="shared" si="12"/>
        <v>2658.28</v>
      </c>
      <c r="BN24" s="33">
        <f t="shared" si="12"/>
        <v>6134.23</v>
      </c>
      <c r="BO24" s="33">
        <f t="shared" si="12"/>
        <v>1141.33</v>
      </c>
      <c r="BP24" s="33">
        <f t="shared" si="12"/>
        <v>2227.47</v>
      </c>
      <c r="BQ24" s="33">
        <f t="shared" si="12"/>
        <v>11652.74</v>
      </c>
      <c r="BR24" s="33">
        <f t="shared" si="12"/>
        <v>1339.59</v>
      </c>
      <c r="BS24" s="33">
        <f aca="true" t="shared" si="13" ref="BS24:DX24">SUM(BS22:BS23)</f>
        <v>38610.24</v>
      </c>
      <c r="BT24" s="33">
        <f t="shared" si="13"/>
        <v>5091.450000000001</v>
      </c>
      <c r="BU24" s="33">
        <f t="shared" si="13"/>
        <v>2710.12</v>
      </c>
      <c r="BV24" s="33">
        <f t="shared" si="13"/>
        <v>2056.5</v>
      </c>
      <c r="BW24" s="33">
        <f t="shared" si="13"/>
        <v>6406.75</v>
      </c>
      <c r="BX24" s="33">
        <f t="shared" si="13"/>
        <v>1366.58</v>
      </c>
      <c r="BY24" s="33">
        <f t="shared" si="13"/>
        <v>3817.49</v>
      </c>
      <c r="BZ24" s="33">
        <f t="shared" si="13"/>
        <v>6680.51</v>
      </c>
      <c r="CA24" s="33">
        <f t="shared" si="13"/>
        <v>907.34</v>
      </c>
      <c r="CB24" s="33">
        <f t="shared" si="13"/>
        <v>2980.7</v>
      </c>
      <c r="CC24" s="33">
        <f t="shared" si="13"/>
        <v>16467.49</v>
      </c>
      <c r="CD24" s="33">
        <f t="shared" si="13"/>
        <v>6234.93</v>
      </c>
      <c r="CE24" s="33">
        <f t="shared" si="13"/>
        <v>819.27</v>
      </c>
      <c r="CF24" s="33">
        <f t="shared" si="13"/>
        <v>276.54</v>
      </c>
      <c r="CG24" s="33">
        <f t="shared" si="13"/>
        <v>7427.17</v>
      </c>
      <c r="CH24" s="33">
        <f t="shared" si="13"/>
        <v>29458.29</v>
      </c>
      <c r="CI24" s="33">
        <f t="shared" si="13"/>
        <v>2376.78</v>
      </c>
      <c r="CJ24" s="33">
        <f t="shared" si="13"/>
        <v>4913.07</v>
      </c>
      <c r="CK24" s="33">
        <f t="shared" si="13"/>
        <v>1672.61</v>
      </c>
      <c r="CL24" s="33">
        <f t="shared" si="13"/>
        <v>4580.09</v>
      </c>
      <c r="CM24" s="33">
        <f t="shared" si="13"/>
        <v>2915.96</v>
      </c>
      <c r="CN24" s="33">
        <f t="shared" si="13"/>
        <v>0</v>
      </c>
      <c r="CO24" s="33">
        <f t="shared" si="13"/>
        <v>0</v>
      </c>
      <c r="CP24" s="33">
        <f t="shared" si="13"/>
        <v>0</v>
      </c>
      <c r="CQ24" s="33">
        <f t="shared" si="13"/>
        <v>0</v>
      </c>
      <c r="CR24" s="33">
        <f t="shared" si="13"/>
        <v>0</v>
      </c>
      <c r="CS24" s="33">
        <f t="shared" si="13"/>
        <v>0</v>
      </c>
      <c r="CT24" s="33">
        <f t="shared" si="13"/>
        <v>0</v>
      </c>
      <c r="CU24" s="33">
        <f t="shared" si="13"/>
        <v>0</v>
      </c>
      <c r="CV24" s="33">
        <f t="shared" si="13"/>
        <v>0</v>
      </c>
      <c r="CW24" s="33">
        <f t="shared" si="13"/>
        <v>0</v>
      </c>
      <c r="CX24" s="33">
        <f t="shared" si="13"/>
        <v>0</v>
      </c>
      <c r="CY24" s="33">
        <f t="shared" si="13"/>
        <v>0</v>
      </c>
      <c r="CZ24" s="33">
        <f t="shared" si="13"/>
        <v>0</v>
      </c>
      <c r="DA24" s="33">
        <f t="shared" si="13"/>
        <v>0</v>
      </c>
      <c r="DB24" s="33">
        <f t="shared" si="13"/>
        <v>0</v>
      </c>
      <c r="DC24" s="33">
        <f t="shared" si="13"/>
        <v>0</v>
      </c>
      <c r="DD24" s="33">
        <f t="shared" si="13"/>
        <v>0</v>
      </c>
      <c r="DE24" s="33">
        <f t="shared" si="13"/>
        <v>0</v>
      </c>
      <c r="DF24" s="33">
        <f t="shared" si="13"/>
        <v>0</v>
      </c>
      <c r="DG24" s="33">
        <f t="shared" si="13"/>
        <v>0</v>
      </c>
      <c r="DH24" s="33">
        <f t="shared" si="13"/>
        <v>0</v>
      </c>
      <c r="DI24" s="33">
        <f t="shared" si="13"/>
        <v>0</v>
      </c>
      <c r="DJ24" s="33">
        <f t="shared" si="13"/>
        <v>0</v>
      </c>
      <c r="DK24" s="33">
        <f t="shared" si="13"/>
        <v>0</v>
      </c>
      <c r="DL24" s="33">
        <f t="shared" si="13"/>
        <v>0</v>
      </c>
      <c r="DM24" s="33">
        <f t="shared" si="13"/>
        <v>0</v>
      </c>
      <c r="DN24" s="33">
        <f t="shared" si="13"/>
        <v>0</v>
      </c>
      <c r="DO24" s="33">
        <f t="shared" si="13"/>
        <v>0</v>
      </c>
      <c r="DP24" s="33">
        <f t="shared" si="13"/>
        <v>0</v>
      </c>
      <c r="DQ24" s="33">
        <f t="shared" si="13"/>
        <v>0</v>
      </c>
      <c r="DR24" s="33">
        <f t="shared" si="13"/>
        <v>0</v>
      </c>
      <c r="DS24" s="33">
        <f t="shared" si="13"/>
        <v>0</v>
      </c>
      <c r="DT24" s="33">
        <f t="shared" si="13"/>
        <v>0</v>
      </c>
      <c r="DU24" s="33">
        <f t="shared" si="13"/>
        <v>0</v>
      </c>
      <c r="DV24" s="33">
        <f t="shared" si="13"/>
        <v>0</v>
      </c>
      <c r="DW24" s="33">
        <f t="shared" si="13"/>
        <v>0</v>
      </c>
      <c r="DX24" s="33">
        <f t="shared" si="13"/>
        <v>0</v>
      </c>
      <c r="DY24" s="85" t="s">
        <v>239</v>
      </c>
      <c r="DZ24" s="45" t="s">
        <v>239</v>
      </c>
    </row>
    <row r="25" spans="1:130" ht="25.5">
      <c r="A25" s="31" t="s">
        <v>199</v>
      </c>
      <c r="B25" s="32" t="s">
        <v>200</v>
      </c>
      <c r="C25" s="78">
        <v>192.9</v>
      </c>
      <c r="D25" s="66">
        <f>IF(LEFT($M$2,2)&lt;"11",RANK(C25,R25:AA25),RANK(C25,AB25:BB25))</f>
        <v>10</v>
      </c>
      <c r="E25" s="55">
        <f>IF(LEFT($M$2)&lt;"10",MAXA(R25:AA25),MAXA(AB25:BB25))</f>
        <v>638.7</v>
      </c>
      <c r="F25" s="74" t="str">
        <f>HLOOKUP(E25,$R25:$AA$59,35,FALSE)</f>
        <v> Самара</v>
      </c>
      <c r="G25" s="78">
        <v>245.3</v>
      </c>
      <c r="H25" s="66">
        <f>IF(LEFT($M$2,2)&lt;"11",RANK(G25,BC25:BL25),RANK(G25,BM25:CM25))</f>
        <v>9</v>
      </c>
      <c r="I25" s="55">
        <f t="shared" si="7"/>
        <v>1084.37</v>
      </c>
      <c r="J25" s="74" t="str">
        <f>HLOOKUP(I25,$BC25:$CM$59,35,FALSE)</f>
        <v>Новокуйбышевск</v>
      </c>
      <c r="K25" s="81">
        <f>ROUND(IF(C25&lt;&gt;"0",(G25/C25)*100-100),2)</f>
        <v>27.16</v>
      </c>
      <c r="L25" s="45" t="s">
        <v>239</v>
      </c>
      <c r="M25" s="78">
        <v>229.09</v>
      </c>
      <c r="N25" s="66">
        <f t="shared" si="8"/>
        <v>10</v>
      </c>
      <c r="O25" s="55">
        <f t="shared" si="9"/>
        <v>945.89</v>
      </c>
      <c r="P25" s="74" t="str">
        <f>HLOOKUP(O25,$CN25:$DX$59,35,FALSE)</f>
        <v>Самара</v>
      </c>
      <c r="Q25" s="33"/>
      <c r="R25" s="79">
        <v>638.7</v>
      </c>
      <c r="S25" s="79">
        <v>587.7</v>
      </c>
      <c r="T25" s="79">
        <v>419.8</v>
      </c>
      <c r="U25" s="79">
        <v>455.5</v>
      </c>
      <c r="V25" s="81">
        <f>C25</f>
        <v>192.9</v>
      </c>
      <c r="W25" s="79">
        <v>504.1</v>
      </c>
      <c r="X25" s="79">
        <v>258.2</v>
      </c>
      <c r="Y25" s="79">
        <v>203.4</v>
      </c>
      <c r="Z25" s="79">
        <v>298.3</v>
      </c>
      <c r="AA25" s="79">
        <v>293.9</v>
      </c>
      <c r="AB25" s="79">
        <v>119</v>
      </c>
      <c r="AC25" s="79">
        <v>215.6</v>
      </c>
      <c r="AD25" s="79">
        <v>160.5</v>
      </c>
      <c r="AE25" s="79">
        <v>160.9</v>
      </c>
      <c r="AF25" s="79">
        <v>173.5</v>
      </c>
      <c r="AG25" s="79">
        <v>111.2</v>
      </c>
      <c r="AH25" s="79">
        <v>400</v>
      </c>
      <c r="AI25" s="79">
        <v>122.4</v>
      </c>
      <c r="AJ25" s="79">
        <v>280.3</v>
      </c>
      <c r="AK25" s="79">
        <v>127.9</v>
      </c>
      <c r="AL25" s="79">
        <v>259.5</v>
      </c>
      <c r="AM25" s="79">
        <v>173.2</v>
      </c>
      <c r="AN25" s="79">
        <v>171.4</v>
      </c>
      <c r="AO25" s="79">
        <v>143.8</v>
      </c>
      <c r="AP25" s="79">
        <v>149.7</v>
      </c>
      <c r="AQ25" s="79">
        <v>291.2</v>
      </c>
      <c r="AR25" s="79">
        <v>318.9</v>
      </c>
      <c r="AS25" s="79">
        <v>222.5</v>
      </c>
      <c r="AT25" s="79">
        <v>117.9</v>
      </c>
      <c r="AU25" s="79">
        <v>122.6</v>
      </c>
      <c r="AV25" s="79">
        <v>301.1</v>
      </c>
      <c r="AW25" s="79">
        <v>360.8</v>
      </c>
      <c r="AX25" s="79">
        <v>254.8</v>
      </c>
      <c r="AY25" s="79">
        <v>152.3</v>
      </c>
      <c r="AZ25" s="79">
        <v>109.2</v>
      </c>
      <c r="BA25" s="79">
        <v>253.7</v>
      </c>
      <c r="BB25" s="79">
        <v>239.7</v>
      </c>
      <c r="BC25" s="79">
        <v>851.86</v>
      </c>
      <c r="BD25" s="79">
        <v>685.1</v>
      </c>
      <c r="BE25" s="79">
        <v>493.49</v>
      </c>
      <c r="BF25" s="79">
        <v>1084.37</v>
      </c>
      <c r="BG25" s="81">
        <f>G25</f>
        <v>245.3</v>
      </c>
      <c r="BH25" s="79">
        <v>746.67</v>
      </c>
      <c r="BI25" s="79">
        <v>323.81</v>
      </c>
      <c r="BJ25" s="79">
        <v>226.24</v>
      </c>
      <c r="BK25" s="79">
        <v>408.08</v>
      </c>
      <c r="BL25" s="79">
        <v>367.97</v>
      </c>
      <c r="BM25" s="79">
        <v>144.22</v>
      </c>
      <c r="BN25" s="79">
        <v>264.75</v>
      </c>
      <c r="BO25" s="79">
        <v>400.51</v>
      </c>
      <c r="BP25" s="79">
        <v>244.45</v>
      </c>
      <c r="BQ25" s="79">
        <v>247.79</v>
      </c>
      <c r="BR25" s="79">
        <v>137.2</v>
      </c>
      <c r="BS25" s="79">
        <v>666.44</v>
      </c>
      <c r="BT25" s="79">
        <v>257.15</v>
      </c>
      <c r="BU25" s="79">
        <v>525.69</v>
      </c>
      <c r="BV25" s="79">
        <v>151.68</v>
      </c>
      <c r="BW25" s="79">
        <v>448.54</v>
      </c>
      <c r="BX25" s="79">
        <v>212.16</v>
      </c>
      <c r="BY25" s="79">
        <v>263.95</v>
      </c>
      <c r="BZ25" s="79">
        <v>180.91</v>
      </c>
      <c r="CA25" s="79">
        <v>224.4</v>
      </c>
      <c r="CB25" s="79">
        <v>469.99</v>
      </c>
      <c r="CC25" s="79">
        <v>399.03</v>
      </c>
      <c r="CD25" s="79">
        <v>285.72</v>
      </c>
      <c r="CE25" s="79">
        <v>117.66</v>
      </c>
      <c r="CF25" s="79">
        <v>359.78</v>
      </c>
      <c r="CG25" s="79">
        <v>400.68</v>
      </c>
      <c r="CH25" s="79">
        <v>793.82</v>
      </c>
      <c r="CI25" s="79">
        <v>310.27</v>
      </c>
      <c r="CJ25" s="79">
        <v>202.54</v>
      </c>
      <c r="CK25" s="79">
        <v>161.85</v>
      </c>
      <c r="CL25" s="79">
        <v>379.31</v>
      </c>
      <c r="CM25" s="79">
        <v>229.77</v>
      </c>
      <c r="CN25" s="79">
        <v>945.89</v>
      </c>
      <c r="CO25" s="79">
        <v>808.03</v>
      </c>
      <c r="CP25" s="79">
        <v>545.23</v>
      </c>
      <c r="CQ25" s="79">
        <v>749.86</v>
      </c>
      <c r="CR25" s="81">
        <f>M25</f>
        <v>229.09</v>
      </c>
      <c r="CS25" s="79">
        <v>741.64</v>
      </c>
      <c r="CT25" s="79">
        <v>489.09</v>
      </c>
      <c r="CU25" s="79">
        <v>270.82</v>
      </c>
      <c r="CV25" s="79">
        <v>462.26</v>
      </c>
      <c r="CW25" s="79">
        <v>374.18</v>
      </c>
      <c r="CX25" s="79">
        <v>313.46</v>
      </c>
      <c r="CY25" s="79">
        <v>296.55</v>
      </c>
      <c r="CZ25" s="79">
        <v>214.89</v>
      </c>
      <c r="DA25" s="79">
        <v>273.02</v>
      </c>
      <c r="DB25" s="79">
        <v>279.7</v>
      </c>
      <c r="DC25" s="79">
        <v>138.57</v>
      </c>
      <c r="DD25" s="79">
        <v>905.63</v>
      </c>
      <c r="DE25" s="79">
        <v>228.18</v>
      </c>
      <c r="DF25" s="79">
        <v>345.11</v>
      </c>
      <c r="DG25" s="79">
        <v>177.88</v>
      </c>
      <c r="DH25" s="79">
        <v>490.64</v>
      </c>
      <c r="DI25" s="79">
        <v>189.42</v>
      </c>
      <c r="DJ25" s="79">
        <v>422.54</v>
      </c>
      <c r="DK25" s="79">
        <v>192.96</v>
      </c>
      <c r="DL25" s="79">
        <v>279.02</v>
      </c>
      <c r="DM25" s="79">
        <v>377.69</v>
      </c>
      <c r="DN25" s="79">
        <v>436.09</v>
      </c>
      <c r="DO25" s="79">
        <v>234.9</v>
      </c>
      <c r="DP25" s="79">
        <v>172.7</v>
      </c>
      <c r="DQ25" s="79">
        <v>365.67</v>
      </c>
      <c r="DR25" s="79">
        <v>475.48</v>
      </c>
      <c r="DS25" s="79">
        <v>453.34</v>
      </c>
      <c r="DT25" s="79">
        <v>355.78</v>
      </c>
      <c r="DU25" s="79">
        <v>265.25</v>
      </c>
      <c r="DV25" s="79">
        <v>178.76</v>
      </c>
      <c r="DW25" s="79">
        <v>355</v>
      </c>
      <c r="DX25" s="79">
        <v>291.91</v>
      </c>
      <c r="DY25" s="53">
        <f t="shared" si="10"/>
        <v>-6.608234814512845</v>
      </c>
      <c r="DZ25" s="34" t="str">
        <f t="shared" si="11"/>
        <v>-</v>
      </c>
    </row>
    <row r="26" spans="1:130" ht="28.5" customHeight="1">
      <c r="A26" s="31" t="s">
        <v>164</v>
      </c>
      <c r="B26" s="32" t="s">
        <v>165</v>
      </c>
      <c r="C26" s="78">
        <v>331.6</v>
      </c>
      <c r="D26" s="66">
        <f>IF(LEFT($M$2,2)&lt;"11",RANK(C26,R26:AA26),RANK(C26,AB26:BB26))</f>
        <v>9</v>
      </c>
      <c r="E26" s="55">
        <f>IF(LEFT($M$2)&lt;"10",MAXA(R26:AA26),MAXA(AB26:BB26))</f>
        <v>788</v>
      </c>
      <c r="F26" s="74" t="str">
        <f>HLOOKUP(E26,$R26:$AA$59,34,FALSE)</f>
        <v>Новокуйбышевск</v>
      </c>
      <c r="G26" s="78">
        <v>399.84</v>
      </c>
      <c r="H26" s="66">
        <f>IF(LEFT($M$2,2)&lt;"11",RANK(G26,BC26:BL26),RANK(G26,BM26:CM26))</f>
        <v>9</v>
      </c>
      <c r="I26" s="55">
        <f t="shared" si="7"/>
        <v>1102.96</v>
      </c>
      <c r="J26" s="74" t="str">
        <f>HLOOKUP(I26,$BC26:$CM$59,34,FALSE)</f>
        <v>Новокуйбышевск</v>
      </c>
      <c r="K26" s="81">
        <f>ROUND(IF(C26&lt;&gt;"0",(G26/C26)*100-100),2)</f>
        <v>20.58</v>
      </c>
      <c r="L26" s="45" t="s">
        <v>239</v>
      </c>
      <c r="M26" s="78">
        <v>398.93</v>
      </c>
      <c r="N26" s="66">
        <f t="shared" si="8"/>
        <v>10</v>
      </c>
      <c r="O26" s="55">
        <f t="shared" si="9"/>
        <v>948.37</v>
      </c>
      <c r="P26" s="74" t="str">
        <f>HLOOKUP(O26,$CN26:$DX$59,34,FALSE)</f>
        <v>Самара</v>
      </c>
      <c r="Q26" s="33"/>
      <c r="R26" s="79">
        <v>643.17</v>
      </c>
      <c r="S26" s="79">
        <v>602.65</v>
      </c>
      <c r="T26" s="79">
        <v>475.94</v>
      </c>
      <c r="U26" s="79">
        <v>788</v>
      </c>
      <c r="V26" s="81">
        <f>C26</f>
        <v>331.6</v>
      </c>
      <c r="W26" s="79">
        <v>775.49</v>
      </c>
      <c r="X26" s="79">
        <v>321.5</v>
      </c>
      <c r="Y26" s="79">
        <v>408.33</v>
      </c>
      <c r="Z26" s="79">
        <v>461.92</v>
      </c>
      <c r="AA26" s="79">
        <v>462.85</v>
      </c>
      <c r="AB26" s="79">
        <v>499.64</v>
      </c>
      <c r="AC26" s="79">
        <v>298.68</v>
      </c>
      <c r="AD26" s="79">
        <v>582.59</v>
      </c>
      <c r="AE26" s="79">
        <v>370.95</v>
      </c>
      <c r="AF26" s="79">
        <v>275.66</v>
      </c>
      <c r="AG26" s="79">
        <v>264.2</v>
      </c>
      <c r="AH26" s="79">
        <v>579.2</v>
      </c>
      <c r="AI26" s="79">
        <v>448.58</v>
      </c>
      <c r="AJ26" s="79">
        <v>571.61</v>
      </c>
      <c r="AK26" s="79">
        <v>402.58</v>
      </c>
      <c r="AL26" s="79">
        <v>684.08</v>
      </c>
      <c r="AM26" s="79">
        <v>264.02</v>
      </c>
      <c r="AN26" s="79">
        <v>580.87</v>
      </c>
      <c r="AO26" s="79">
        <v>403.22</v>
      </c>
      <c r="AP26" s="79">
        <v>443.43</v>
      </c>
      <c r="AQ26" s="79">
        <v>439.08</v>
      </c>
      <c r="AR26" s="79">
        <v>424.22</v>
      </c>
      <c r="AS26" s="79">
        <v>381.16</v>
      </c>
      <c r="AT26" s="79">
        <v>241.37</v>
      </c>
      <c r="AU26" s="79">
        <v>241.46</v>
      </c>
      <c r="AV26" s="79">
        <v>504.1</v>
      </c>
      <c r="AW26" s="79">
        <v>511.04</v>
      </c>
      <c r="AX26" s="79">
        <v>426.13</v>
      </c>
      <c r="AY26" s="79">
        <v>355.56</v>
      </c>
      <c r="AZ26" s="79">
        <v>355.87</v>
      </c>
      <c r="BA26" s="79">
        <v>390.8</v>
      </c>
      <c r="BB26" s="79">
        <v>466.22</v>
      </c>
      <c r="BC26" s="79">
        <v>854.14</v>
      </c>
      <c r="BD26" s="79">
        <v>685.1</v>
      </c>
      <c r="BE26" s="79">
        <v>593.62</v>
      </c>
      <c r="BF26" s="79">
        <v>1102.96</v>
      </c>
      <c r="BG26" s="81">
        <f>G26</f>
        <v>399.84</v>
      </c>
      <c r="BH26" s="79">
        <v>833.82</v>
      </c>
      <c r="BI26" s="79">
        <v>460.09</v>
      </c>
      <c r="BJ26" s="79">
        <v>375.12</v>
      </c>
      <c r="BK26" s="79">
        <v>514.6</v>
      </c>
      <c r="BL26" s="79">
        <v>498.16</v>
      </c>
      <c r="BM26" s="79">
        <v>144.22</v>
      </c>
      <c r="BN26" s="79">
        <v>264.75</v>
      </c>
      <c r="BO26" s="79">
        <v>400.51</v>
      </c>
      <c r="BP26" s="79">
        <v>244.45</v>
      </c>
      <c r="BQ26" s="79">
        <v>247.79</v>
      </c>
      <c r="BR26" s="79">
        <v>137.2</v>
      </c>
      <c r="BS26" s="79">
        <v>666.44</v>
      </c>
      <c r="BT26" s="79">
        <v>257.15</v>
      </c>
      <c r="BU26" s="79">
        <v>525.69</v>
      </c>
      <c r="BV26" s="79">
        <v>151.68</v>
      </c>
      <c r="BW26" s="79">
        <v>448.54</v>
      </c>
      <c r="BX26" s="79">
        <v>212.16</v>
      </c>
      <c r="BY26" s="79">
        <v>263.95</v>
      </c>
      <c r="BZ26" s="79">
        <v>180.91</v>
      </c>
      <c r="CA26" s="79">
        <v>224.4</v>
      </c>
      <c r="CB26" s="79">
        <v>469.99</v>
      </c>
      <c r="CC26" s="79">
        <v>399.03</v>
      </c>
      <c r="CD26" s="79">
        <v>285.72</v>
      </c>
      <c r="CE26" s="79">
        <v>117.66</v>
      </c>
      <c r="CF26" s="79">
        <v>359.78</v>
      </c>
      <c r="CG26" s="79">
        <v>400.68</v>
      </c>
      <c r="CH26" s="79">
        <v>793.82</v>
      </c>
      <c r="CI26" s="79">
        <v>310.27</v>
      </c>
      <c r="CJ26" s="79">
        <v>202.54</v>
      </c>
      <c r="CK26" s="79">
        <v>161.85</v>
      </c>
      <c r="CL26" s="79">
        <v>379.31</v>
      </c>
      <c r="CM26" s="79">
        <v>229.77</v>
      </c>
      <c r="CN26" s="79">
        <v>948.37</v>
      </c>
      <c r="CO26" s="79">
        <v>810.51</v>
      </c>
      <c r="CP26" s="79">
        <v>634.26</v>
      </c>
      <c r="CQ26" s="79">
        <v>782.7</v>
      </c>
      <c r="CR26" s="81">
        <f>M26</f>
        <v>398.93</v>
      </c>
      <c r="CS26" s="79">
        <v>790.52</v>
      </c>
      <c r="CT26" s="79">
        <v>623.23</v>
      </c>
      <c r="CU26" s="79">
        <v>456.17</v>
      </c>
      <c r="CV26" s="79">
        <v>579.81</v>
      </c>
      <c r="CW26" s="79">
        <v>486.61</v>
      </c>
      <c r="CX26" s="79">
        <v>547.16</v>
      </c>
      <c r="CY26" s="79">
        <v>467.65</v>
      </c>
      <c r="CZ26" s="79">
        <v>427.52</v>
      </c>
      <c r="DA26" s="79">
        <v>483.46</v>
      </c>
      <c r="DB26" s="79">
        <v>499.09</v>
      </c>
      <c r="DC26" s="79">
        <v>350.27</v>
      </c>
      <c r="DD26" s="79">
        <v>1033.78</v>
      </c>
      <c r="DE26" s="79">
        <v>445.52</v>
      </c>
      <c r="DF26" s="79">
        <v>529.81</v>
      </c>
      <c r="DG26" s="79">
        <v>397.28</v>
      </c>
      <c r="DH26" s="79">
        <v>698.42</v>
      </c>
      <c r="DI26" s="79">
        <v>392.04</v>
      </c>
      <c r="DJ26" s="79">
        <v>627.86</v>
      </c>
      <c r="DK26" s="79">
        <v>401.81</v>
      </c>
      <c r="DL26" s="79">
        <v>498.81</v>
      </c>
      <c r="DM26" s="79">
        <v>492.18</v>
      </c>
      <c r="DN26" s="79">
        <v>566.18</v>
      </c>
      <c r="DO26" s="79">
        <v>462.63</v>
      </c>
      <c r="DP26" s="79">
        <v>411.3</v>
      </c>
      <c r="DQ26" s="79">
        <v>567.16</v>
      </c>
      <c r="DR26" s="79">
        <v>634.05</v>
      </c>
      <c r="DS26" s="79">
        <v>588.32</v>
      </c>
      <c r="DT26" s="79">
        <v>558.51</v>
      </c>
      <c r="DU26" s="79">
        <v>498.91</v>
      </c>
      <c r="DV26" s="79">
        <v>407.58</v>
      </c>
      <c r="DW26" s="79">
        <v>580.01</v>
      </c>
      <c r="DX26" s="79">
        <v>530.98</v>
      </c>
      <c r="DY26" s="53">
        <f t="shared" si="10"/>
        <v>-0.22759103641455786</v>
      </c>
      <c r="DZ26" s="34" t="str">
        <f t="shared" si="11"/>
        <v>-</v>
      </c>
    </row>
    <row r="27" spans="1:130" ht="38.25">
      <c r="A27" s="31" t="s">
        <v>166</v>
      </c>
      <c r="B27" s="32" t="s">
        <v>167</v>
      </c>
      <c r="C27" s="78">
        <v>754.61</v>
      </c>
      <c r="D27" s="66">
        <f>IF(LEFT($M$2,2)&lt;"11",RANK(C27,R27:AA27),RANK(C27,AB27:BB27))</f>
        <v>9</v>
      </c>
      <c r="E27" s="55">
        <f>IF(LEFT($M$2)&lt;"10",MAXA(R27:AA27),MAXA(AB27:BB27))</f>
        <v>1463.72</v>
      </c>
      <c r="F27" s="74" t="str">
        <f>HLOOKUP(E27,$R27:$AA$59,33,FALSE)</f>
        <v>Новокуйбышевск</v>
      </c>
      <c r="G27" s="78">
        <v>866.75</v>
      </c>
      <c r="H27" s="66">
        <f>IF(LEFT($M$2,2)&lt;"11",RANK(G27,BC27:BL27),RANK(G27,BM27:CM27))</f>
        <v>8</v>
      </c>
      <c r="I27" s="55">
        <f t="shared" si="7"/>
        <v>1420.23</v>
      </c>
      <c r="J27" s="74" t="str">
        <f>HLOOKUP(I27,$BC27:$CM$59,33,FALSE)</f>
        <v>Новокуйбышевск</v>
      </c>
      <c r="K27" s="81">
        <f>ROUND(IF(C27&lt;&gt;"0",(G27/C27)*100-100),2)</f>
        <v>14.86</v>
      </c>
      <c r="L27" s="45" t="s">
        <v>239</v>
      </c>
      <c r="M27" s="78">
        <v>951.82</v>
      </c>
      <c r="N27" s="66">
        <f t="shared" si="8"/>
        <v>4</v>
      </c>
      <c r="O27" s="55">
        <f t="shared" si="9"/>
        <v>1140.11</v>
      </c>
      <c r="P27" s="74" t="str">
        <f>HLOOKUP(O27,$CN27:$DX$59,33,FALSE)</f>
        <v>Жигулёвск</v>
      </c>
      <c r="Q27" s="33"/>
      <c r="R27" s="79">
        <v>837.28</v>
      </c>
      <c r="S27" s="79">
        <v>832.81</v>
      </c>
      <c r="T27" s="79">
        <v>794.69</v>
      </c>
      <c r="U27" s="79">
        <v>1463.72</v>
      </c>
      <c r="V27" s="81">
        <f>C27</f>
        <v>754.61</v>
      </c>
      <c r="W27" s="79">
        <v>1210.66</v>
      </c>
      <c r="X27" s="79">
        <v>742.18</v>
      </c>
      <c r="Y27" s="79">
        <v>872.85</v>
      </c>
      <c r="Z27" s="79">
        <v>859.01</v>
      </c>
      <c r="AA27" s="79">
        <v>884.99</v>
      </c>
      <c r="AB27" s="79">
        <v>947.22</v>
      </c>
      <c r="AC27" s="79">
        <v>887.67</v>
      </c>
      <c r="AD27" s="79">
        <v>1045.09</v>
      </c>
      <c r="AE27" s="79">
        <v>895.73</v>
      </c>
      <c r="AF27" s="79">
        <v>904.32</v>
      </c>
      <c r="AG27" s="79">
        <v>694.91</v>
      </c>
      <c r="AH27" s="79">
        <v>844.95</v>
      </c>
      <c r="AI27" s="79">
        <v>845.77</v>
      </c>
      <c r="AJ27" s="79">
        <v>1526.63</v>
      </c>
      <c r="AK27" s="79">
        <v>915.87</v>
      </c>
      <c r="AL27" s="79">
        <v>975.33</v>
      </c>
      <c r="AM27" s="79">
        <v>1029.78</v>
      </c>
      <c r="AN27" s="79">
        <v>1194.93</v>
      </c>
      <c r="AO27" s="79">
        <v>693.63</v>
      </c>
      <c r="AP27" s="79">
        <v>1167.82</v>
      </c>
      <c r="AQ27" s="79">
        <v>973.67</v>
      </c>
      <c r="AR27" s="79">
        <v>1045.33</v>
      </c>
      <c r="AS27" s="79">
        <v>1017.98</v>
      </c>
      <c r="AT27" s="79">
        <v>778.3</v>
      </c>
      <c r="AU27" s="79">
        <v>901.98</v>
      </c>
      <c r="AV27" s="79">
        <v>1302.85</v>
      </c>
      <c r="AW27" s="79">
        <v>815.67</v>
      </c>
      <c r="AX27" s="79">
        <v>935.73</v>
      </c>
      <c r="AY27" s="79">
        <v>1242.57</v>
      </c>
      <c r="AZ27" s="79">
        <v>1149.41</v>
      </c>
      <c r="BA27" s="79">
        <v>1283.97</v>
      </c>
      <c r="BB27" s="79">
        <v>1017.12</v>
      </c>
      <c r="BC27" s="79">
        <v>1040.46</v>
      </c>
      <c r="BD27" s="79">
        <v>844.4</v>
      </c>
      <c r="BE27" s="79">
        <v>1106.63</v>
      </c>
      <c r="BF27" s="79">
        <v>1420.23</v>
      </c>
      <c r="BG27" s="81">
        <f>G27</f>
        <v>866.75</v>
      </c>
      <c r="BH27" s="79">
        <v>1353.83</v>
      </c>
      <c r="BI27" s="79">
        <v>742.88</v>
      </c>
      <c r="BJ27" s="79">
        <v>963.55</v>
      </c>
      <c r="BK27" s="79">
        <v>994.94</v>
      </c>
      <c r="BL27" s="79">
        <v>929.6</v>
      </c>
      <c r="BM27" s="79">
        <v>1420.64</v>
      </c>
      <c r="BN27" s="79">
        <v>1655.85</v>
      </c>
      <c r="BO27" s="79">
        <v>1417.87</v>
      </c>
      <c r="BP27" s="79">
        <v>1789.82</v>
      </c>
      <c r="BQ27" s="79">
        <v>1269.46</v>
      </c>
      <c r="BR27" s="79">
        <v>734.91</v>
      </c>
      <c r="BS27" s="79">
        <v>994.11</v>
      </c>
      <c r="BT27" s="79">
        <v>1221.05</v>
      </c>
      <c r="BU27" s="79">
        <v>1675.01</v>
      </c>
      <c r="BV27" s="79">
        <v>1053.36</v>
      </c>
      <c r="BW27" s="79">
        <v>1433.59</v>
      </c>
      <c r="BX27" s="79">
        <v>1022.58</v>
      </c>
      <c r="BY27" s="79">
        <v>1518.54</v>
      </c>
      <c r="BZ27" s="79">
        <v>877.1</v>
      </c>
      <c r="CA27" s="79">
        <v>1820.58</v>
      </c>
      <c r="CB27" s="79">
        <v>1307.76</v>
      </c>
      <c r="CC27" s="79">
        <v>1426.2</v>
      </c>
      <c r="CD27" s="79">
        <v>1289.77</v>
      </c>
      <c r="CE27" s="79">
        <v>966.66</v>
      </c>
      <c r="CF27" s="79">
        <v>1180.98</v>
      </c>
      <c r="CG27" s="79">
        <v>2098.72</v>
      </c>
      <c r="CH27" s="79">
        <v>1334.65</v>
      </c>
      <c r="CI27" s="79">
        <v>1351.5</v>
      </c>
      <c r="CJ27" s="79">
        <v>1683.49</v>
      </c>
      <c r="CK27" s="79">
        <v>1424.98</v>
      </c>
      <c r="CL27" s="79">
        <v>2044.92</v>
      </c>
      <c r="CM27" s="79">
        <v>1275.46</v>
      </c>
      <c r="CN27" s="79">
        <v>981.99</v>
      </c>
      <c r="CO27" s="79">
        <v>873.52</v>
      </c>
      <c r="CP27" s="79">
        <v>695.2</v>
      </c>
      <c r="CQ27" s="79">
        <v>1055.19</v>
      </c>
      <c r="CR27" s="81">
        <f>M27</f>
        <v>951.82</v>
      </c>
      <c r="CS27" s="79">
        <v>881.66</v>
      </c>
      <c r="CT27" s="79">
        <v>1140.11</v>
      </c>
      <c r="CU27" s="79">
        <v>575.6</v>
      </c>
      <c r="CV27" s="79">
        <v>862.03</v>
      </c>
      <c r="CW27" s="79">
        <v>919.45</v>
      </c>
      <c r="CX27" s="79">
        <v>935.46</v>
      </c>
      <c r="CY27" s="79">
        <v>705.52</v>
      </c>
      <c r="CZ27" s="79">
        <v>815.53</v>
      </c>
      <c r="DA27" s="79">
        <v>912.35</v>
      </c>
      <c r="DB27" s="79">
        <v>988.62</v>
      </c>
      <c r="DC27" s="79">
        <v>617.24</v>
      </c>
      <c r="DD27" s="79">
        <v>1228.49</v>
      </c>
      <c r="DE27" s="79">
        <v>669.34</v>
      </c>
      <c r="DF27" s="79">
        <v>1458.77</v>
      </c>
      <c r="DG27" s="79">
        <v>953.38</v>
      </c>
      <c r="DH27" s="79">
        <v>1035.33</v>
      </c>
      <c r="DI27" s="79">
        <v>969.24</v>
      </c>
      <c r="DJ27" s="79">
        <v>1194.09</v>
      </c>
      <c r="DK27" s="79">
        <v>728.91</v>
      </c>
      <c r="DL27" s="79">
        <v>783.75</v>
      </c>
      <c r="DM27" s="79">
        <v>715.9</v>
      </c>
      <c r="DN27" s="79">
        <v>799.29</v>
      </c>
      <c r="DO27" s="79">
        <v>766.35</v>
      </c>
      <c r="DP27" s="79">
        <v>773.41</v>
      </c>
      <c r="DQ27" s="79">
        <v>1242.34</v>
      </c>
      <c r="DR27" s="79">
        <v>1346.95</v>
      </c>
      <c r="DS27" s="79">
        <v>999.54</v>
      </c>
      <c r="DT27" s="79">
        <v>990.75</v>
      </c>
      <c r="DU27" s="79">
        <v>1487.68</v>
      </c>
      <c r="DV27" s="79">
        <v>950.86</v>
      </c>
      <c r="DW27" s="79">
        <v>1975.1</v>
      </c>
      <c r="DX27" s="79">
        <v>933.51</v>
      </c>
      <c r="DY27" s="53">
        <f t="shared" si="10"/>
        <v>9.814825497548318</v>
      </c>
      <c r="DZ27" s="34" t="str">
        <f t="shared" si="11"/>
        <v>+</v>
      </c>
    </row>
    <row r="28" spans="2:130" s="36" customFormat="1" ht="26.25" customHeight="1">
      <c r="B28" s="38"/>
      <c r="C28" s="88" t="s">
        <v>110</v>
      </c>
      <c r="D28" s="89"/>
      <c r="E28" s="89"/>
      <c r="F28" s="90"/>
      <c r="G28" s="88" t="s">
        <v>366</v>
      </c>
      <c r="H28" s="89"/>
      <c r="I28" s="89"/>
      <c r="J28" s="90"/>
      <c r="K28" s="38"/>
      <c r="L28" s="46"/>
      <c r="M28" s="88" t="s">
        <v>368</v>
      </c>
      <c r="N28" s="89"/>
      <c r="O28" s="89"/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89"/>
      <c r="AA28" s="89"/>
      <c r="AB28" s="89"/>
      <c r="AC28" s="89"/>
      <c r="AD28" s="89"/>
      <c r="AE28" s="89"/>
      <c r="AF28" s="89"/>
      <c r="AG28" s="89"/>
      <c r="AH28" s="89"/>
      <c r="AI28" s="89"/>
      <c r="AJ28" s="89"/>
      <c r="AK28" s="89"/>
      <c r="AL28" s="89"/>
      <c r="AM28" s="89"/>
      <c r="AN28" s="89"/>
      <c r="AO28" s="89"/>
      <c r="AP28" s="89"/>
      <c r="AQ28" s="89"/>
      <c r="AR28" s="89"/>
      <c r="AS28" s="89"/>
      <c r="AT28" s="89"/>
      <c r="AU28" s="89"/>
      <c r="AV28" s="89"/>
      <c r="AW28" s="89"/>
      <c r="AX28" s="89"/>
      <c r="AY28" s="89"/>
      <c r="AZ28" s="89"/>
      <c r="BA28" s="89"/>
      <c r="BB28" s="89"/>
      <c r="BC28" s="89"/>
      <c r="BD28" s="89"/>
      <c r="BE28" s="89"/>
      <c r="BF28" s="89"/>
      <c r="BG28" s="89"/>
      <c r="BH28" s="89"/>
      <c r="BI28" s="89"/>
      <c r="BJ28" s="89"/>
      <c r="BK28" s="89"/>
      <c r="BL28" s="89"/>
      <c r="BM28" s="89"/>
      <c r="BN28" s="89"/>
      <c r="BO28" s="89"/>
      <c r="BP28" s="89"/>
      <c r="BQ28" s="89"/>
      <c r="BR28" s="89"/>
      <c r="BS28" s="89"/>
      <c r="BT28" s="89"/>
      <c r="BU28" s="89"/>
      <c r="BV28" s="89"/>
      <c r="BW28" s="89"/>
      <c r="BX28" s="89"/>
      <c r="BY28" s="89"/>
      <c r="BZ28" s="89"/>
      <c r="CA28" s="89"/>
      <c r="CB28" s="89"/>
      <c r="CC28" s="89"/>
      <c r="CD28" s="89"/>
      <c r="CE28" s="89"/>
      <c r="CF28" s="89"/>
      <c r="CG28" s="89"/>
      <c r="CH28" s="89"/>
      <c r="CI28" s="89"/>
      <c r="CJ28" s="89"/>
      <c r="CK28" s="89"/>
      <c r="CL28" s="89"/>
      <c r="CM28" s="89"/>
      <c r="CN28" s="89"/>
      <c r="CO28" s="89"/>
      <c r="CP28" s="89"/>
      <c r="CQ28" s="89"/>
      <c r="CR28" s="89"/>
      <c r="CS28" s="89"/>
      <c r="CT28" s="89"/>
      <c r="CU28" s="89"/>
      <c r="CV28" s="89"/>
      <c r="CW28" s="89"/>
      <c r="CX28" s="89"/>
      <c r="CY28" s="89"/>
      <c r="CZ28" s="89"/>
      <c r="DA28" s="89"/>
      <c r="DB28" s="89"/>
      <c r="DC28" s="89"/>
      <c r="DD28" s="89"/>
      <c r="DE28" s="89"/>
      <c r="DF28" s="89"/>
      <c r="DG28" s="89"/>
      <c r="DH28" s="89"/>
      <c r="DI28" s="89"/>
      <c r="DJ28" s="89"/>
      <c r="DK28" s="89"/>
      <c r="DL28" s="89"/>
      <c r="DM28" s="89"/>
      <c r="DN28" s="89"/>
      <c r="DO28" s="89"/>
      <c r="DP28" s="89"/>
      <c r="DQ28" s="89"/>
      <c r="DR28" s="89"/>
      <c r="DS28" s="89"/>
      <c r="DT28" s="89"/>
      <c r="DU28" s="89"/>
      <c r="DV28" s="89"/>
      <c r="DW28" s="89"/>
      <c r="DX28" s="89"/>
      <c r="DY28" s="89"/>
      <c r="DZ28" s="90"/>
    </row>
    <row r="29" spans="1:130" ht="28.5" customHeight="1">
      <c r="A29" s="31" t="s">
        <v>174</v>
      </c>
      <c r="B29" s="32" t="s">
        <v>242</v>
      </c>
      <c r="C29" s="78">
        <v>0.33</v>
      </c>
      <c r="D29" s="66">
        <f aca="true" t="shared" si="14" ref="D29:D41">IF(LEFT($M$2,2)&lt;"11",RANK(C29,R29:AA29),RANK(C29,AB29:BB29))</f>
        <v>7</v>
      </c>
      <c r="E29" s="55">
        <f>IF(LEFT($M$2)&lt;"10",MAXA(R29:AA29),MAXA(AB29:BB29))</f>
        <v>0.71</v>
      </c>
      <c r="F29" s="74" t="str">
        <f>HLOOKUP(E29,$R29:$AA$59,31,FALSE)</f>
        <v>Кинель</v>
      </c>
      <c r="G29" s="78">
        <v>0.54</v>
      </c>
      <c r="H29" s="66">
        <f aca="true" t="shared" si="15" ref="H29:H41">IF(LEFT($M$2,2)&lt;"11",RANK(G29,BC29:BL29),RANK(G29,BM29:CM29))</f>
        <v>4</v>
      </c>
      <c r="I29" s="55">
        <f>IF(LEFT($M$2)&lt;"10",MAXA(BC29:BL29),MAXA(BM29:CM29))</f>
        <v>0.77</v>
      </c>
      <c r="J29" s="74" t="str">
        <f>HLOOKUP(I29,$BC29:$CM$59,31,FALSE)</f>
        <v>Кинель</v>
      </c>
      <c r="K29" s="81">
        <f aca="true" t="shared" si="16" ref="K29:K55">ROUND(IF(C29&lt;&gt;"0",(G29/C29)*100-100),2)</f>
        <v>63.64</v>
      </c>
      <c r="L29" s="45" t="s">
        <v>239</v>
      </c>
      <c r="M29" s="86" t="s">
        <v>239</v>
      </c>
      <c r="N29" s="83" t="s">
        <v>239</v>
      </c>
      <c r="O29" s="84" t="s">
        <v>239</v>
      </c>
      <c r="P29" s="84" t="s">
        <v>239</v>
      </c>
      <c r="Q29" s="33"/>
      <c r="R29" s="79">
        <v>0.34</v>
      </c>
      <c r="S29" s="79">
        <v>0.43</v>
      </c>
      <c r="T29" s="79">
        <v>0.24</v>
      </c>
      <c r="U29" s="79">
        <v>0.25</v>
      </c>
      <c r="V29" s="81">
        <f aca="true" t="shared" si="17" ref="V29:V55">C29</f>
        <v>0.33</v>
      </c>
      <c r="W29" s="79">
        <v>0.54</v>
      </c>
      <c r="X29" s="79">
        <v>0.46</v>
      </c>
      <c r="Y29" s="79">
        <v>0.64</v>
      </c>
      <c r="Z29" s="79">
        <v>0.71</v>
      </c>
      <c r="AA29" s="79">
        <v>0.32</v>
      </c>
      <c r="AB29" s="79">
        <v>0.24</v>
      </c>
      <c r="AC29" s="79">
        <v>0.28</v>
      </c>
      <c r="AD29" s="79">
        <v>0.41</v>
      </c>
      <c r="AE29" s="79">
        <v>0.07</v>
      </c>
      <c r="AF29" s="79">
        <v>0.12</v>
      </c>
      <c r="AG29" s="79">
        <v>0.23</v>
      </c>
      <c r="AH29" s="79">
        <v>0.27</v>
      </c>
      <c r="AI29" s="79">
        <v>0.23</v>
      </c>
      <c r="AJ29" s="79">
        <v>0.15</v>
      </c>
      <c r="AK29" s="79">
        <v>0.15</v>
      </c>
      <c r="AL29" s="79">
        <v>0.38</v>
      </c>
      <c r="AM29" s="79">
        <v>0.31</v>
      </c>
      <c r="AN29" s="79">
        <v>0.11</v>
      </c>
      <c r="AO29" s="79">
        <v>0.16</v>
      </c>
      <c r="AP29" s="79">
        <v>0.28</v>
      </c>
      <c r="AQ29" s="79">
        <v>0.42</v>
      </c>
      <c r="AR29" s="79">
        <v>0.12</v>
      </c>
      <c r="AS29" s="79">
        <v>0.38</v>
      </c>
      <c r="AT29" s="79">
        <v>0.18</v>
      </c>
      <c r="AU29" s="79">
        <v>0.28</v>
      </c>
      <c r="AV29" s="79">
        <v>0.33</v>
      </c>
      <c r="AW29" s="79">
        <v>0.48</v>
      </c>
      <c r="AX29" s="79">
        <v>0.3</v>
      </c>
      <c r="AY29" s="79">
        <v>0.22</v>
      </c>
      <c r="AZ29" s="79">
        <v>0.21</v>
      </c>
      <c r="BA29" s="79">
        <v>0.13</v>
      </c>
      <c r="BB29" s="79">
        <v>0.45</v>
      </c>
      <c r="BC29" s="79">
        <v>0.34</v>
      </c>
      <c r="BD29" s="79">
        <v>0.43</v>
      </c>
      <c r="BE29" s="79">
        <v>0.24</v>
      </c>
      <c r="BF29" s="79">
        <v>0.52</v>
      </c>
      <c r="BG29" s="81">
        <f aca="true" t="shared" si="18" ref="BG29:BG55">G29</f>
        <v>0.54</v>
      </c>
      <c r="BH29" s="79">
        <v>0.66</v>
      </c>
      <c r="BI29" s="79">
        <v>0.47</v>
      </c>
      <c r="BJ29" s="79">
        <v>0.67</v>
      </c>
      <c r="BK29" s="79">
        <v>0.77</v>
      </c>
      <c r="BL29" s="79">
        <v>0.39</v>
      </c>
      <c r="BM29" s="79">
        <v>0.29</v>
      </c>
      <c r="BN29" s="79">
        <v>0.39</v>
      </c>
      <c r="BO29" s="79">
        <v>0.43</v>
      </c>
      <c r="BP29" s="79">
        <v>0.1</v>
      </c>
      <c r="BQ29" s="79">
        <v>0.18</v>
      </c>
      <c r="BR29" s="79">
        <v>0.25</v>
      </c>
      <c r="BS29" s="79">
        <v>0.27</v>
      </c>
      <c r="BT29" s="79">
        <v>0.25</v>
      </c>
      <c r="BU29" s="79">
        <v>0.18</v>
      </c>
      <c r="BV29" s="79">
        <v>0.17</v>
      </c>
      <c r="BW29" s="79">
        <v>0.5</v>
      </c>
      <c r="BX29" s="79">
        <v>0.32</v>
      </c>
      <c r="BY29" s="79">
        <v>0.13</v>
      </c>
      <c r="BZ29" s="79">
        <v>0.17</v>
      </c>
      <c r="CA29" s="79">
        <v>0.31</v>
      </c>
      <c r="CB29" s="79">
        <v>0.43</v>
      </c>
      <c r="CC29" s="79">
        <v>0.12</v>
      </c>
      <c r="CD29" s="79">
        <v>0.39</v>
      </c>
      <c r="CE29" s="79">
        <v>0.25</v>
      </c>
      <c r="CF29" s="79">
        <v>0.31</v>
      </c>
      <c r="CG29" s="79">
        <v>0.38</v>
      </c>
      <c r="CH29" s="79">
        <v>0.57</v>
      </c>
      <c r="CI29" s="79">
        <v>0.32</v>
      </c>
      <c r="CJ29" s="79">
        <v>0.24</v>
      </c>
      <c r="CK29" s="79">
        <v>0.24</v>
      </c>
      <c r="CL29" s="79">
        <v>0.14</v>
      </c>
      <c r="CM29" s="79">
        <v>0.64</v>
      </c>
      <c r="CN29" s="79">
        <v>0.34</v>
      </c>
      <c r="CO29" s="79">
        <v>0.43</v>
      </c>
      <c r="CP29" s="79">
        <v>0.24</v>
      </c>
      <c r="CQ29" s="79">
        <v>0.52</v>
      </c>
      <c r="CR29" s="81" t="str">
        <f aca="true" t="shared" si="19" ref="CR29:CR55">M29</f>
        <v>х</v>
      </c>
      <c r="CS29" s="79">
        <v>0.66</v>
      </c>
      <c r="CT29" s="79">
        <v>0.47</v>
      </c>
      <c r="CU29" s="79">
        <v>0.67</v>
      </c>
      <c r="CV29" s="79">
        <v>0.77</v>
      </c>
      <c r="CW29" s="79">
        <v>0.39</v>
      </c>
      <c r="CX29" s="79">
        <v>0.29</v>
      </c>
      <c r="CY29" s="79">
        <v>0.39</v>
      </c>
      <c r="CZ29" s="79">
        <v>0.43</v>
      </c>
      <c r="DA29" s="79">
        <v>0.1</v>
      </c>
      <c r="DB29" s="79">
        <v>0.18</v>
      </c>
      <c r="DC29" s="79">
        <v>0.25</v>
      </c>
      <c r="DD29" s="79">
        <v>0.27</v>
      </c>
      <c r="DE29" s="79">
        <v>0.25</v>
      </c>
      <c r="DF29" s="79">
        <v>0.18</v>
      </c>
      <c r="DG29" s="79">
        <v>0.17</v>
      </c>
      <c r="DH29" s="79">
        <v>0.5</v>
      </c>
      <c r="DI29" s="79">
        <v>0.32</v>
      </c>
      <c r="DJ29" s="79">
        <v>0.13</v>
      </c>
      <c r="DK29" s="79">
        <v>0.17</v>
      </c>
      <c r="DL29" s="79">
        <v>0.31</v>
      </c>
      <c r="DM29" s="79">
        <v>0.43</v>
      </c>
      <c r="DN29" s="79">
        <v>0.12</v>
      </c>
      <c r="DO29" s="79">
        <v>0.39</v>
      </c>
      <c r="DP29" s="79">
        <v>0.25</v>
      </c>
      <c r="DQ29" s="79">
        <v>0.31</v>
      </c>
      <c r="DR29" s="79">
        <v>0.38</v>
      </c>
      <c r="DS29" s="79">
        <v>0.57</v>
      </c>
      <c r="DT29" s="79">
        <v>0.32</v>
      </c>
      <c r="DU29" s="79">
        <v>0.24</v>
      </c>
      <c r="DV29" s="79">
        <v>0.24</v>
      </c>
      <c r="DW29" s="79">
        <v>0.14</v>
      </c>
      <c r="DX29" s="79">
        <v>0.64</v>
      </c>
      <c r="DY29" s="85" t="s">
        <v>239</v>
      </c>
      <c r="DZ29" s="85" t="s">
        <v>239</v>
      </c>
    </row>
    <row r="30" spans="1:130" ht="39" customHeight="1" hidden="1">
      <c r="A30" s="31" t="s">
        <v>175</v>
      </c>
      <c r="B30" s="32" t="s">
        <v>176</v>
      </c>
      <c r="C30" s="78"/>
      <c r="D30" s="66">
        <f t="shared" si="14"/>
        <v>1</v>
      </c>
      <c r="E30" s="55">
        <f>IF(LEFT($BC$2)&lt;"10",MAXA(R30:AA30),MAXA(AB30:BB30))</f>
        <v>0</v>
      </c>
      <c r="F30" s="74" t="str">
        <f>HLOOKUP(E30,$R30:$AA$59,30,FALSE)</f>
        <v>Чапаевск</v>
      </c>
      <c r="G30" s="78">
        <v>0</v>
      </c>
      <c r="H30" s="66">
        <f t="shared" si="15"/>
        <v>1</v>
      </c>
      <c r="I30" s="55">
        <f>IF(LEFT($BC$2)&lt;"10",MAXA(CN30:CW30),MAXA(CX30:DX30))</f>
        <v>0</v>
      </c>
      <c r="J30" s="74" t="e">
        <f>HLOOKUP(I30,$BC30:$CM$59,31,FALSE)</f>
        <v>#REF!</v>
      </c>
      <c r="K30" s="81" t="e">
        <f t="shared" si="16"/>
        <v>#DIV/0!</v>
      </c>
      <c r="L30" s="45" t="s">
        <v>239</v>
      </c>
      <c r="M30" s="86" t="s">
        <v>239</v>
      </c>
      <c r="N30" s="83" t="s">
        <v>239</v>
      </c>
      <c r="O30" s="84" t="s">
        <v>239</v>
      </c>
      <c r="P30" s="84" t="s">
        <v>239</v>
      </c>
      <c r="Q30" s="33"/>
      <c r="R30" s="79"/>
      <c r="S30" s="79"/>
      <c r="T30" s="79"/>
      <c r="U30" s="79"/>
      <c r="V30" s="81">
        <f t="shared" si="17"/>
        <v>0</v>
      </c>
      <c r="W30" s="79"/>
      <c r="X30" s="79"/>
      <c r="Y30" s="79"/>
      <c r="Z30" s="79"/>
      <c r="AA30" s="79"/>
      <c r="AB30" s="79">
        <v>73</v>
      </c>
      <c r="AC30" s="79">
        <v>97.1</v>
      </c>
      <c r="AD30" s="79">
        <v>100</v>
      </c>
      <c r="AE30" s="79">
        <v>100</v>
      </c>
      <c r="AF30" s="79">
        <v>85.3</v>
      </c>
      <c r="AG30" s="79">
        <v>100</v>
      </c>
      <c r="AH30" s="79">
        <v>98.1</v>
      </c>
      <c r="AI30" s="79">
        <v>81.4</v>
      </c>
      <c r="AJ30" s="79">
        <v>83.2</v>
      </c>
      <c r="AK30" s="79">
        <v>60.3</v>
      </c>
      <c r="AL30" s="79">
        <v>48.6</v>
      </c>
      <c r="AM30" s="79">
        <v>59.7</v>
      </c>
      <c r="AN30" s="79">
        <v>100</v>
      </c>
      <c r="AO30" s="79">
        <v>96.8</v>
      </c>
      <c r="AP30" s="79">
        <v>74.3</v>
      </c>
      <c r="AQ30" s="79">
        <v>100</v>
      </c>
      <c r="AR30" s="79">
        <v>100</v>
      </c>
      <c r="AS30" s="79">
        <v>97.3</v>
      </c>
      <c r="AT30" s="79">
        <v>100</v>
      </c>
      <c r="AU30" s="79">
        <v>100</v>
      </c>
      <c r="AV30" s="79">
        <v>77.7</v>
      </c>
      <c r="AW30" s="79">
        <v>97.4</v>
      </c>
      <c r="AX30" s="79">
        <v>83.2</v>
      </c>
      <c r="AY30" s="79">
        <v>95.9</v>
      </c>
      <c r="AZ30" s="79">
        <v>75.2</v>
      </c>
      <c r="BA30" s="79">
        <v>94.1</v>
      </c>
      <c r="BB30" s="79">
        <v>36.5</v>
      </c>
      <c r="BC30" s="79">
        <v>0</v>
      </c>
      <c r="BD30" s="79">
        <v>0</v>
      </c>
      <c r="BE30" s="79">
        <v>0</v>
      </c>
      <c r="BF30" s="79">
        <v>0</v>
      </c>
      <c r="BG30" s="81">
        <f t="shared" si="18"/>
        <v>0</v>
      </c>
      <c r="BH30" s="79">
        <v>0</v>
      </c>
      <c r="BI30" s="79">
        <v>0</v>
      </c>
      <c r="BJ30" s="79">
        <v>0</v>
      </c>
      <c r="BK30" s="79">
        <v>0</v>
      </c>
      <c r="BL30" s="79">
        <v>0</v>
      </c>
      <c r="BM30" s="79">
        <v>91.8</v>
      </c>
      <c r="BN30" s="79">
        <v>97.1</v>
      </c>
      <c r="BO30" s="79">
        <v>100</v>
      </c>
      <c r="BP30" s="79">
        <v>100</v>
      </c>
      <c r="BQ30" s="79">
        <v>85.6</v>
      </c>
      <c r="BR30" s="79">
        <v>100</v>
      </c>
      <c r="BS30" s="79">
        <v>98.1</v>
      </c>
      <c r="BT30" s="79">
        <v>86.4</v>
      </c>
      <c r="BU30" s="79">
        <v>83.2</v>
      </c>
      <c r="BV30" s="79">
        <v>62.2</v>
      </c>
      <c r="BW30" s="79">
        <v>70.4</v>
      </c>
      <c r="BX30" s="79">
        <v>59.7</v>
      </c>
      <c r="BY30" s="79">
        <v>100</v>
      </c>
      <c r="BZ30" s="79">
        <v>97.4</v>
      </c>
      <c r="CA30" s="79">
        <v>78.9</v>
      </c>
      <c r="CB30" s="79">
        <v>100</v>
      </c>
      <c r="CC30" s="79">
        <v>100</v>
      </c>
      <c r="CD30" s="79">
        <v>97.3</v>
      </c>
      <c r="CE30" s="79">
        <v>100</v>
      </c>
      <c r="CF30" s="79">
        <v>100</v>
      </c>
      <c r="CG30" s="79">
        <v>83.2</v>
      </c>
      <c r="CH30" s="79">
        <v>97.4</v>
      </c>
      <c r="CI30" s="79">
        <v>83.3</v>
      </c>
      <c r="CJ30" s="79">
        <v>95.9</v>
      </c>
      <c r="CK30" s="79">
        <v>84.3</v>
      </c>
      <c r="CL30" s="79">
        <v>94.1</v>
      </c>
      <c r="CM30" s="79">
        <v>44</v>
      </c>
      <c r="CN30" s="79"/>
      <c r="CO30" s="79"/>
      <c r="CP30" s="79"/>
      <c r="CQ30" s="79"/>
      <c r="CR30" s="81" t="str">
        <f t="shared" si="19"/>
        <v>х</v>
      </c>
      <c r="CS30" s="79"/>
      <c r="CT30" s="79"/>
      <c r="CU30" s="79"/>
      <c r="CV30" s="79"/>
      <c r="CW30" s="79"/>
      <c r="CX30" s="79"/>
      <c r="CY30" s="79"/>
      <c r="CZ30" s="79"/>
      <c r="DA30" s="79"/>
      <c r="DB30" s="79"/>
      <c r="DC30" s="79"/>
      <c r="DD30" s="79"/>
      <c r="DE30" s="79"/>
      <c r="DF30" s="79"/>
      <c r="DG30" s="79"/>
      <c r="DH30" s="79"/>
      <c r="DI30" s="79"/>
      <c r="DJ30" s="79"/>
      <c r="DK30" s="79"/>
      <c r="DL30" s="79"/>
      <c r="DM30" s="79"/>
      <c r="DN30" s="79"/>
      <c r="DO30" s="79"/>
      <c r="DP30" s="79"/>
      <c r="DQ30" s="79"/>
      <c r="DR30" s="79"/>
      <c r="DS30" s="79"/>
      <c r="DT30" s="79"/>
      <c r="DU30" s="79"/>
      <c r="DV30" s="79"/>
      <c r="DW30" s="79"/>
      <c r="DX30" s="79"/>
      <c r="DY30" s="85" t="s">
        <v>239</v>
      </c>
      <c r="DZ30" s="85" t="s">
        <v>239</v>
      </c>
    </row>
    <row r="31" spans="1:130" ht="13.5" customHeight="1">
      <c r="A31" s="31" t="s">
        <v>177</v>
      </c>
      <c r="B31" s="32" t="s">
        <v>178</v>
      </c>
      <c r="C31" s="87">
        <v>16.9</v>
      </c>
      <c r="D31" s="66">
        <f t="shared" si="14"/>
        <v>2</v>
      </c>
      <c r="E31" s="55">
        <f>IF(LEFT($M$2)&lt;"10",MINA(R31:AA31),MINA(AB31:BB31))</f>
        <v>2.5</v>
      </c>
      <c r="F31" s="74" t="str">
        <f>HLOOKUP(E31,$R31:$AA$59,29,FALSE)</f>
        <v>Жигулёвск</v>
      </c>
      <c r="G31" s="78">
        <v>13.8</v>
      </c>
      <c r="H31" s="66">
        <f t="shared" si="15"/>
        <v>2</v>
      </c>
      <c r="I31" s="55">
        <f>IF(LEFT($M$2)&lt;"10",MINA(BC31:BL31),MINA(BM31:CM31))</f>
        <v>0.4</v>
      </c>
      <c r="J31" s="74" t="str">
        <f>HLOOKUP(I31,$BC31:$CM$59,29,FALSE)</f>
        <v>Жигулёвск</v>
      </c>
      <c r="K31" s="81">
        <f t="shared" si="16"/>
        <v>-18.34</v>
      </c>
      <c r="L31" s="45" t="s">
        <v>239</v>
      </c>
      <c r="M31" s="86" t="s">
        <v>239</v>
      </c>
      <c r="N31" s="83" t="s">
        <v>239</v>
      </c>
      <c r="O31" s="84" t="s">
        <v>239</v>
      </c>
      <c r="P31" s="84" t="s">
        <v>239</v>
      </c>
      <c r="Q31" s="33"/>
      <c r="R31" s="79">
        <v>8.9</v>
      </c>
      <c r="S31" s="79">
        <v>7.2</v>
      </c>
      <c r="T31" s="79">
        <v>12.5</v>
      </c>
      <c r="U31" s="79">
        <v>13.2</v>
      </c>
      <c r="V31" s="81">
        <f t="shared" si="17"/>
        <v>16.9</v>
      </c>
      <c r="W31" s="79">
        <v>11.9</v>
      </c>
      <c r="X31" s="79">
        <v>2.5</v>
      </c>
      <c r="Y31" s="79">
        <v>14.3</v>
      </c>
      <c r="Z31" s="79">
        <v>30.5</v>
      </c>
      <c r="AA31" s="79">
        <v>13.1</v>
      </c>
      <c r="AB31" s="79">
        <v>11.3</v>
      </c>
      <c r="AC31" s="79">
        <v>1.3</v>
      </c>
      <c r="AD31" s="79">
        <v>11.3</v>
      </c>
      <c r="AE31" s="79">
        <v>1.6</v>
      </c>
      <c r="AF31" s="79">
        <v>2.3</v>
      </c>
      <c r="AG31" s="79">
        <v>11</v>
      </c>
      <c r="AH31" s="79">
        <v>18.4</v>
      </c>
      <c r="AI31" s="79">
        <v>14.3</v>
      </c>
      <c r="AJ31" s="79">
        <v>12.8</v>
      </c>
      <c r="AK31" s="79">
        <v>14.3</v>
      </c>
      <c r="AL31" s="79">
        <v>30.3</v>
      </c>
      <c r="AM31" s="79">
        <v>13.3</v>
      </c>
      <c r="AN31" s="79">
        <v>16</v>
      </c>
      <c r="AO31" s="79">
        <v>11.5</v>
      </c>
      <c r="AP31" s="79">
        <v>2.9</v>
      </c>
      <c r="AQ31" s="79">
        <v>9.2</v>
      </c>
      <c r="AR31" s="79">
        <v>11</v>
      </c>
      <c r="AS31" s="79">
        <v>0.6</v>
      </c>
      <c r="AT31" s="79">
        <v>12.7</v>
      </c>
      <c r="AU31" s="79">
        <v>2.9</v>
      </c>
      <c r="AV31" s="79">
        <v>7</v>
      </c>
      <c r="AW31" s="79">
        <v>2.3</v>
      </c>
      <c r="AX31" s="79">
        <v>14.7</v>
      </c>
      <c r="AY31" s="79">
        <v>1.3</v>
      </c>
      <c r="AZ31" s="79">
        <v>3</v>
      </c>
      <c r="BA31" s="79">
        <v>11.4</v>
      </c>
      <c r="BB31" s="79">
        <v>7.7</v>
      </c>
      <c r="BC31" s="79">
        <v>8.1</v>
      </c>
      <c r="BD31" s="79">
        <v>5.4</v>
      </c>
      <c r="BE31" s="79">
        <v>11.5</v>
      </c>
      <c r="BF31" s="79">
        <v>13.4</v>
      </c>
      <c r="BG31" s="81">
        <f t="shared" si="18"/>
        <v>13.8</v>
      </c>
      <c r="BH31" s="79">
        <v>8.6</v>
      </c>
      <c r="BI31" s="79">
        <v>0.4</v>
      </c>
      <c r="BJ31" s="79">
        <v>10.3</v>
      </c>
      <c r="BK31" s="79">
        <v>17.1</v>
      </c>
      <c r="BL31" s="79">
        <v>12.2</v>
      </c>
      <c r="BM31" s="79">
        <v>31.2</v>
      </c>
      <c r="BN31" s="79">
        <v>0.4</v>
      </c>
      <c r="BO31" s="79">
        <v>21.4</v>
      </c>
      <c r="BP31" s="79">
        <v>0.4</v>
      </c>
      <c r="BQ31" s="79">
        <v>0</v>
      </c>
      <c r="BR31" s="79">
        <v>10.2</v>
      </c>
      <c r="BS31" s="79">
        <v>16.3</v>
      </c>
      <c r="BT31" s="79">
        <v>13.4</v>
      </c>
      <c r="BU31" s="79">
        <v>11.2</v>
      </c>
      <c r="BV31" s="79">
        <v>10.5</v>
      </c>
      <c r="BW31" s="79">
        <v>42.7</v>
      </c>
      <c r="BX31" s="79">
        <v>9</v>
      </c>
      <c r="BY31" s="79">
        <v>11.3</v>
      </c>
      <c r="BZ31" s="79">
        <v>9.2</v>
      </c>
      <c r="CA31" s="79">
        <v>1.2</v>
      </c>
      <c r="CB31" s="79">
        <v>8.5</v>
      </c>
      <c r="CC31" s="79">
        <v>8.7</v>
      </c>
      <c r="CD31" s="79">
        <v>0</v>
      </c>
      <c r="CE31" s="79">
        <v>10.9</v>
      </c>
      <c r="CF31" s="79">
        <v>1.7</v>
      </c>
      <c r="CG31" s="79">
        <v>6.7</v>
      </c>
      <c r="CH31" s="79">
        <v>1.8</v>
      </c>
      <c r="CI31" s="79">
        <v>12.9</v>
      </c>
      <c r="CJ31" s="79">
        <v>1</v>
      </c>
      <c r="CK31" s="79">
        <v>4.4</v>
      </c>
      <c r="CL31" s="79">
        <v>7.7</v>
      </c>
      <c r="CM31" s="79">
        <v>3.8</v>
      </c>
      <c r="CN31" s="79"/>
      <c r="CO31" s="79"/>
      <c r="CP31" s="79"/>
      <c r="CQ31" s="79"/>
      <c r="CR31" s="81" t="str">
        <f t="shared" si="19"/>
        <v>х</v>
      </c>
      <c r="CS31" s="79"/>
      <c r="CT31" s="79"/>
      <c r="CU31" s="79"/>
      <c r="CV31" s="79"/>
      <c r="CW31" s="79"/>
      <c r="CX31" s="79"/>
      <c r="CY31" s="79"/>
      <c r="CZ31" s="79"/>
      <c r="DA31" s="79"/>
      <c r="DB31" s="79"/>
      <c r="DC31" s="79"/>
      <c r="DD31" s="79"/>
      <c r="DE31" s="79"/>
      <c r="DF31" s="79"/>
      <c r="DG31" s="79"/>
      <c r="DH31" s="79"/>
      <c r="DI31" s="79"/>
      <c r="DJ31" s="79"/>
      <c r="DK31" s="79"/>
      <c r="DL31" s="79"/>
      <c r="DM31" s="79"/>
      <c r="DN31" s="79"/>
      <c r="DO31" s="79"/>
      <c r="DP31" s="79"/>
      <c r="DQ31" s="79"/>
      <c r="DR31" s="79"/>
      <c r="DS31" s="79"/>
      <c r="DT31" s="79"/>
      <c r="DU31" s="79"/>
      <c r="DV31" s="79"/>
      <c r="DW31" s="79"/>
      <c r="DX31" s="79"/>
      <c r="DY31" s="85" t="s">
        <v>239</v>
      </c>
      <c r="DZ31" s="85" t="s">
        <v>239</v>
      </c>
    </row>
    <row r="32" spans="1:130" ht="12.75">
      <c r="A32" s="31" t="s">
        <v>179</v>
      </c>
      <c r="B32" s="32" t="s">
        <v>180</v>
      </c>
      <c r="C32" s="78">
        <v>67.2</v>
      </c>
      <c r="D32" s="66">
        <f t="shared" si="14"/>
        <v>1</v>
      </c>
      <c r="E32" s="55">
        <f>IF(LEFT($M$2)&lt;"10",MINA(R32:AA32),MINA(AB32:BB32))</f>
        <v>0</v>
      </c>
      <c r="F32" s="74" t="str">
        <f>HLOOKUP(E32,$R32:$AA$59,28,FALSE)</f>
        <v>Октябрьск</v>
      </c>
      <c r="G32" s="78">
        <v>67.17</v>
      </c>
      <c r="H32" s="66">
        <f t="shared" si="15"/>
        <v>1</v>
      </c>
      <c r="I32" s="55">
        <f>IF(LEFT($M$2)&lt;"10",MINA(BC32:BL32),MINA(BM32:CM32))</f>
        <v>0</v>
      </c>
      <c r="J32" s="74" t="str">
        <f>HLOOKUP(I32,$BC32:$CM$59,28,FALSE)</f>
        <v>Похвистнево</v>
      </c>
      <c r="K32" s="81">
        <f t="shared" si="16"/>
        <v>-0.04</v>
      </c>
      <c r="L32" s="45" t="s">
        <v>239</v>
      </c>
      <c r="M32" s="86" t="s">
        <v>239</v>
      </c>
      <c r="N32" s="83" t="s">
        <v>239</v>
      </c>
      <c r="O32" s="84" t="s">
        <v>239</v>
      </c>
      <c r="P32" s="84" t="s">
        <v>239</v>
      </c>
      <c r="Q32" s="33"/>
      <c r="R32" s="79">
        <v>22.1</v>
      </c>
      <c r="S32" s="79">
        <v>20.6</v>
      </c>
      <c r="T32" s="79">
        <v>1.7</v>
      </c>
      <c r="U32" s="79">
        <v>0.3</v>
      </c>
      <c r="V32" s="81">
        <f t="shared" si="17"/>
        <v>67.2</v>
      </c>
      <c r="W32" s="79">
        <v>28.1</v>
      </c>
      <c r="X32" s="79">
        <v>17.8</v>
      </c>
      <c r="Y32" s="80">
        <v>0</v>
      </c>
      <c r="Z32" s="79">
        <v>23.5</v>
      </c>
      <c r="AA32" s="79">
        <v>0</v>
      </c>
      <c r="AB32" s="79">
        <v>0</v>
      </c>
      <c r="AC32" s="79">
        <v>41</v>
      </c>
      <c r="AD32" s="79">
        <v>0</v>
      </c>
      <c r="AE32" s="79">
        <v>14.1</v>
      </c>
      <c r="AF32" s="79">
        <v>0</v>
      </c>
      <c r="AG32" s="79">
        <v>7.6</v>
      </c>
      <c r="AH32" s="79">
        <v>43.2</v>
      </c>
      <c r="AI32" s="79">
        <v>0</v>
      </c>
      <c r="AJ32" s="79">
        <v>3</v>
      </c>
      <c r="AK32" s="79">
        <v>29.2</v>
      </c>
      <c r="AL32" s="79">
        <v>0</v>
      </c>
      <c r="AM32" s="79">
        <v>45.5</v>
      </c>
      <c r="AN32" s="79">
        <v>0</v>
      </c>
      <c r="AO32" s="79">
        <v>51</v>
      </c>
      <c r="AP32" s="79">
        <v>2.5</v>
      </c>
      <c r="AQ32" s="79">
        <v>0.5</v>
      </c>
      <c r="AR32" s="79">
        <v>15.5</v>
      </c>
      <c r="AS32" s="79">
        <v>40.7</v>
      </c>
      <c r="AT32" s="79">
        <v>0</v>
      </c>
      <c r="AU32" s="79">
        <v>56.8</v>
      </c>
      <c r="AV32" s="79">
        <v>0</v>
      </c>
      <c r="AW32" s="79">
        <v>17.1</v>
      </c>
      <c r="AX32" s="79">
        <v>0</v>
      </c>
      <c r="AY32" s="79">
        <v>0.1</v>
      </c>
      <c r="AZ32" s="79">
        <v>85.2</v>
      </c>
      <c r="BA32" s="79">
        <v>76</v>
      </c>
      <c r="BB32" s="79">
        <v>46.2</v>
      </c>
      <c r="BC32" s="79">
        <v>22.1</v>
      </c>
      <c r="BD32" s="79">
        <v>20.63</v>
      </c>
      <c r="BE32" s="79">
        <v>1.74</v>
      </c>
      <c r="BF32" s="79">
        <v>0.34</v>
      </c>
      <c r="BG32" s="81">
        <f t="shared" si="18"/>
        <v>67.17</v>
      </c>
      <c r="BH32" s="79">
        <v>28.11</v>
      </c>
      <c r="BI32" s="79">
        <v>17.84</v>
      </c>
      <c r="BJ32" s="79">
        <v>0.03</v>
      </c>
      <c r="BK32" s="79">
        <v>23.51</v>
      </c>
      <c r="BL32" s="79">
        <v>0</v>
      </c>
      <c r="BM32" s="79">
        <v>0</v>
      </c>
      <c r="BN32" s="79">
        <v>41.04</v>
      </c>
      <c r="BO32" s="79">
        <v>0</v>
      </c>
      <c r="BP32" s="79">
        <v>14.11</v>
      </c>
      <c r="BQ32" s="79">
        <v>0</v>
      </c>
      <c r="BR32" s="79">
        <v>7.64</v>
      </c>
      <c r="BS32" s="79">
        <v>43.23</v>
      </c>
      <c r="BT32" s="79">
        <v>0</v>
      </c>
      <c r="BU32" s="79">
        <v>3</v>
      </c>
      <c r="BV32" s="79">
        <v>29.18</v>
      </c>
      <c r="BW32" s="79">
        <v>0</v>
      </c>
      <c r="BX32" s="79">
        <v>45.51</v>
      </c>
      <c r="BY32" s="79">
        <v>0</v>
      </c>
      <c r="BZ32" s="79">
        <v>50.98</v>
      </c>
      <c r="CA32" s="79">
        <v>2.49</v>
      </c>
      <c r="CB32" s="79">
        <v>0.54</v>
      </c>
      <c r="CC32" s="79">
        <v>15.51</v>
      </c>
      <c r="CD32" s="79">
        <v>40.7</v>
      </c>
      <c r="CE32" s="79">
        <v>0</v>
      </c>
      <c r="CF32" s="79">
        <v>56.79</v>
      </c>
      <c r="CG32" s="79">
        <v>0</v>
      </c>
      <c r="CH32" s="79">
        <v>17.11</v>
      </c>
      <c r="CI32" s="79">
        <v>0</v>
      </c>
      <c r="CJ32" s="79">
        <v>0.08</v>
      </c>
      <c r="CK32" s="79">
        <v>85.22</v>
      </c>
      <c r="CL32" s="79">
        <v>76.03</v>
      </c>
      <c r="CM32" s="79">
        <v>46.21</v>
      </c>
      <c r="CN32" s="79"/>
      <c r="CO32" s="79"/>
      <c r="CP32" s="79"/>
      <c r="CQ32" s="79"/>
      <c r="CR32" s="81" t="str">
        <f t="shared" si="19"/>
        <v>х</v>
      </c>
      <c r="CS32" s="79"/>
      <c r="CT32" s="79"/>
      <c r="CU32" s="79"/>
      <c r="CV32" s="79"/>
      <c r="CW32" s="79"/>
      <c r="CX32" s="79"/>
      <c r="CY32" s="79"/>
      <c r="CZ32" s="79"/>
      <c r="DA32" s="79"/>
      <c r="DB32" s="79"/>
      <c r="DC32" s="79"/>
      <c r="DD32" s="79"/>
      <c r="DE32" s="79"/>
      <c r="DF32" s="79"/>
      <c r="DG32" s="79"/>
      <c r="DH32" s="79"/>
      <c r="DI32" s="79"/>
      <c r="DJ32" s="79"/>
      <c r="DK32" s="79"/>
      <c r="DL32" s="79"/>
      <c r="DM32" s="79"/>
      <c r="DN32" s="79"/>
      <c r="DO32" s="79"/>
      <c r="DP32" s="79"/>
      <c r="DQ32" s="79"/>
      <c r="DR32" s="79"/>
      <c r="DS32" s="79"/>
      <c r="DT32" s="79"/>
      <c r="DU32" s="79"/>
      <c r="DV32" s="79"/>
      <c r="DW32" s="79"/>
      <c r="DX32" s="79"/>
      <c r="DY32" s="85" t="s">
        <v>239</v>
      </c>
      <c r="DZ32" s="85" t="s">
        <v>239</v>
      </c>
    </row>
    <row r="33" spans="1:130" ht="12.75">
      <c r="A33" s="31" t="s">
        <v>159</v>
      </c>
      <c r="B33" s="32" t="s">
        <v>241</v>
      </c>
      <c r="C33" s="78">
        <v>169047.69</v>
      </c>
      <c r="D33" s="66">
        <f t="shared" si="14"/>
        <v>8</v>
      </c>
      <c r="E33" s="55">
        <f>IF(LEFT($M$2)&lt;"10",MAXA(R33:AA33),MAXA(AB33:BB33))</f>
        <v>8729801.51</v>
      </c>
      <c r="F33" s="74" t="str">
        <f>HLOOKUP(E33,$R33:$AA$59,27,FALSE)</f>
        <v> Самара</v>
      </c>
      <c r="G33" s="78">
        <v>216565.37</v>
      </c>
      <c r="H33" s="66">
        <f t="shared" si="15"/>
        <v>8</v>
      </c>
      <c r="I33" s="55">
        <f>IF(LEFT($M$2)&lt;"10",MAXA(BC33:BL33),MAXA(BM33:CM33))</f>
        <v>11599894.65</v>
      </c>
      <c r="J33" s="74" t="str">
        <f>HLOOKUP(I33,$BC33:$CM$59,27,FALSE)</f>
        <v>Самара</v>
      </c>
      <c r="K33" s="81">
        <f t="shared" si="16"/>
        <v>28.11</v>
      </c>
      <c r="L33" s="45" t="s">
        <v>239</v>
      </c>
      <c r="M33" s="78">
        <v>202256</v>
      </c>
      <c r="N33" s="66">
        <f>IF(LEFT($M$2,2)&lt;"11",RANK(M33,CN33:CW33),RANK(M33,CX33:DX33))</f>
        <v>8</v>
      </c>
      <c r="O33" s="55">
        <f>IF(LEFT($M$2)&lt;"10",MAXA(CN33:CW33),MAXA(CX33:DX33))</f>
        <v>12879825</v>
      </c>
      <c r="P33" s="74" t="str">
        <f>HLOOKUP(O33,$CN33:$DX$59,27,FALSE)</f>
        <v>Самара</v>
      </c>
      <c r="Q33" s="33"/>
      <c r="R33" s="79">
        <v>8729801.51</v>
      </c>
      <c r="S33" s="79">
        <v>5063963.56</v>
      </c>
      <c r="T33" s="79">
        <v>909796.29</v>
      </c>
      <c r="U33" s="79">
        <v>1020024.94</v>
      </c>
      <c r="V33" s="81">
        <f t="shared" si="17"/>
        <v>169047.69</v>
      </c>
      <c r="W33" s="79">
        <v>293687.17</v>
      </c>
      <c r="X33" s="79">
        <v>190677.95</v>
      </c>
      <c r="Y33" s="79">
        <v>65408.7</v>
      </c>
      <c r="Z33" s="79">
        <v>183197.8</v>
      </c>
      <c r="AA33" s="79">
        <v>102667.43</v>
      </c>
      <c r="AB33" s="79">
        <v>17700.17</v>
      </c>
      <c r="AC33" s="79">
        <v>106995.93</v>
      </c>
      <c r="AD33" s="79">
        <v>65577.25</v>
      </c>
      <c r="AE33" s="79">
        <v>40400.17</v>
      </c>
      <c r="AF33" s="79">
        <v>40104.62</v>
      </c>
      <c r="AG33" s="79">
        <v>32801.43</v>
      </c>
      <c r="AH33" s="79">
        <v>530271.8</v>
      </c>
      <c r="AI33" s="79">
        <v>14723.62</v>
      </c>
      <c r="AJ33" s="79">
        <v>48217.32</v>
      </c>
      <c r="AK33" s="79">
        <v>17890.93</v>
      </c>
      <c r="AL33" s="79">
        <v>168188.32</v>
      </c>
      <c r="AM33" s="79">
        <v>99744.73</v>
      </c>
      <c r="AN33" s="79">
        <v>32142.92</v>
      </c>
      <c r="AO33" s="79">
        <v>44966.79</v>
      </c>
      <c r="AP33" s="79">
        <v>33223.72</v>
      </c>
      <c r="AQ33" s="79">
        <v>177455.46</v>
      </c>
      <c r="AR33" s="79">
        <v>121473.29</v>
      </c>
      <c r="AS33" s="79">
        <v>47516.17</v>
      </c>
      <c r="AT33" s="79">
        <v>40615.46</v>
      </c>
      <c r="AU33" s="79">
        <v>35220.7</v>
      </c>
      <c r="AV33" s="79">
        <v>167128.05</v>
      </c>
      <c r="AW33" s="79">
        <v>270783.45</v>
      </c>
      <c r="AX33" s="79">
        <v>79542.61</v>
      </c>
      <c r="AY33" s="79">
        <v>27751.4</v>
      </c>
      <c r="AZ33" s="79">
        <v>54669.87</v>
      </c>
      <c r="BA33" s="79">
        <v>54055.29</v>
      </c>
      <c r="BB33" s="79">
        <v>63094.57</v>
      </c>
      <c r="BC33" s="79">
        <v>11599894.65</v>
      </c>
      <c r="BD33" s="79">
        <v>5922076.16</v>
      </c>
      <c r="BE33" s="79">
        <v>1063938.5</v>
      </c>
      <c r="BF33" s="79">
        <v>1467013.65</v>
      </c>
      <c r="BG33" s="81">
        <f t="shared" si="18"/>
        <v>216565.37</v>
      </c>
      <c r="BH33" s="79">
        <v>430187.11</v>
      </c>
      <c r="BI33" s="79">
        <v>242514.93</v>
      </c>
      <c r="BJ33" s="79">
        <v>75326.32</v>
      </c>
      <c r="BK33" s="79">
        <v>249187.23</v>
      </c>
      <c r="BL33" s="79">
        <v>128461.41</v>
      </c>
      <c r="BM33" s="79">
        <v>21161.07</v>
      </c>
      <c r="BN33" s="79">
        <v>128452.05</v>
      </c>
      <c r="BO33" s="79">
        <v>75123.82</v>
      </c>
      <c r="BP33" s="79">
        <v>60412.31</v>
      </c>
      <c r="BQ33" s="79">
        <v>55013.13</v>
      </c>
      <c r="BR33" s="79">
        <v>40641.41</v>
      </c>
      <c r="BS33" s="79">
        <v>651579.23</v>
      </c>
      <c r="BT33" s="79">
        <v>30747.26</v>
      </c>
      <c r="BU33" s="79">
        <v>88668.73</v>
      </c>
      <c r="BV33" s="79">
        <v>20951.38</v>
      </c>
      <c r="BW33" s="79">
        <v>158894.68</v>
      </c>
      <c r="BX33" s="79">
        <v>122111.8</v>
      </c>
      <c r="BY33" s="79">
        <v>47826.94</v>
      </c>
      <c r="BZ33" s="79">
        <v>56016.71</v>
      </c>
      <c r="CA33" s="79">
        <v>49272.34</v>
      </c>
      <c r="CB33" s="79">
        <v>292622.64</v>
      </c>
      <c r="CC33" s="79">
        <v>151610.2</v>
      </c>
      <c r="CD33" s="79">
        <v>59777.85</v>
      </c>
      <c r="CE33" s="79">
        <v>39660.75</v>
      </c>
      <c r="CF33" s="79">
        <v>103314.06</v>
      </c>
      <c r="CG33" s="79">
        <v>216912.23</v>
      </c>
      <c r="CH33" s="79">
        <v>493578.54</v>
      </c>
      <c r="CI33" s="79">
        <v>95697.65</v>
      </c>
      <c r="CJ33" s="79">
        <v>36129.87</v>
      </c>
      <c r="CK33" s="79">
        <v>33949.31</v>
      </c>
      <c r="CL33" s="79">
        <v>78754.18</v>
      </c>
      <c r="CM33" s="79">
        <v>58385.48</v>
      </c>
      <c r="CN33" s="79">
        <v>12879825</v>
      </c>
      <c r="CO33" s="79">
        <v>6984771</v>
      </c>
      <c r="CP33" s="79">
        <v>1175482</v>
      </c>
      <c r="CQ33" s="79">
        <v>1014460</v>
      </c>
      <c r="CR33" s="81">
        <f t="shared" si="19"/>
        <v>202256</v>
      </c>
      <c r="CS33" s="79">
        <v>427290</v>
      </c>
      <c r="CT33" s="79">
        <v>366302</v>
      </c>
      <c r="CU33" s="79">
        <v>90169</v>
      </c>
      <c r="CV33" s="79">
        <v>282272</v>
      </c>
      <c r="CW33" s="79">
        <v>130629</v>
      </c>
      <c r="CX33" s="79">
        <v>45991.9</v>
      </c>
      <c r="CY33" s="79">
        <v>143880</v>
      </c>
      <c r="CZ33" s="79">
        <v>40308.02</v>
      </c>
      <c r="DA33" s="79">
        <v>67473.2</v>
      </c>
      <c r="DB33" s="79">
        <v>62097.3</v>
      </c>
      <c r="DC33" s="79">
        <v>41047</v>
      </c>
      <c r="DD33" s="79">
        <v>885436.26</v>
      </c>
      <c r="DE33" s="79">
        <v>27282.8</v>
      </c>
      <c r="DF33" s="79">
        <v>58210.5</v>
      </c>
      <c r="DG33" s="79">
        <v>24571</v>
      </c>
      <c r="DH33" s="79">
        <v>173811.2</v>
      </c>
      <c r="DI33" s="79">
        <v>109024.2</v>
      </c>
      <c r="DJ33" s="79">
        <v>76564.43</v>
      </c>
      <c r="DK33" s="79">
        <v>59747</v>
      </c>
      <c r="DL33" s="79">
        <v>61266.8</v>
      </c>
      <c r="DM33" s="79">
        <v>235150</v>
      </c>
      <c r="DN33" s="79">
        <v>165688.75</v>
      </c>
      <c r="DO33" s="79">
        <v>49145.2</v>
      </c>
      <c r="DP33" s="79">
        <v>58213.4</v>
      </c>
      <c r="DQ33" s="79">
        <v>105007</v>
      </c>
      <c r="DR33" s="79">
        <v>257402.21</v>
      </c>
      <c r="DS33" s="79">
        <v>281877</v>
      </c>
      <c r="DT33" s="79">
        <v>109735.3</v>
      </c>
      <c r="DU33" s="79">
        <v>47316</v>
      </c>
      <c r="DV33" s="79">
        <v>37497</v>
      </c>
      <c r="DW33" s="79">
        <v>73706.1</v>
      </c>
      <c r="DX33" s="79">
        <v>74175.38</v>
      </c>
      <c r="DY33" s="53">
        <f>(M33-G33)/G33*100</f>
        <v>-6.607413733783936</v>
      </c>
      <c r="DZ33" s="34" t="str">
        <f>IF(N33&lt;H33,"+",IF(N33=H33,"=",IF(N33&gt;H33,"-")))</f>
        <v>=</v>
      </c>
    </row>
    <row r="34" spans="1:130" ht="25.5">
      <c r="A34" s="31" t="s">
        <v>160</v>
      </c>
      <c r="B34" s="32" t="s">
        <v>161</v>
      </c>
      <c r="C34" s="78">
        <v>1.01</v>
      </c>
      <c r="D34" s="66">
        <f t="shared" si="14"/>
        <v>8</v>
      </c>
      <c r="E34" s="55">
        <f aca="true" t="shared" si="20" ref="E34:E50">IF(LEFT($M$2)&lt;"10",MAXA(R34:AA34),MAXA(AB34:BB34))</f>
        <v>52.19</v>
      </c>
      <c r="F34" s="74" t="str">
        <f>HLOOKUP(E34,$R34:$AA$59,26,FALSE)</f>
        <v> Самара</v>
      </c>
      <c r="G34" s="78">
        <v>1.01</v>
      </c>
      <c r="H34" s="66">
        <f t="shared" si="15"/>
        <v>8</v>
      </c>
      <c r="I34" s="55">
        <f aca="true" t="shared" si="21" ref="I34:I55">IF(LEFT($M$2)&lt;"10",MAXA(BC34:BL34),MAXA(BM34:CM34))</f>
        <v>54.22</v>
      </c>
      <c r="J34" s="74" t="str">
        <f>HLOOKUP(I34,$BC34:$CM$59,26,FALSE)</f>
        <v>Самара</v>
      </c>
      <c r="K34" s="81">
        <f t="shared" si="16"/>
        <v>0</v>
      </c>
      <c r="L34" s="45" t="s">
        <v>239</v>
      </c>
      <c r="M34" s="78">
        <v>0.86</v>
      </c>
      <c r="N34" s="66">
        <f>IF(LEFT($M$2,2)&lt;"11",RANK(M34,CN34:CW34),RANK(M34,CX34:DX34))</f>
        <v>8</v>
      </c>
      <c r="O34" s="55">
        <f>IF(LEFT($M$2)&lt;"10",MAXA(CN34:CW34),MAXA(CX34:DX34))</f>
        <v>54.68</v>
      </c>
      <c r="P34" s="74" t="str">
        <f>HLOOKUP(O34,$CN34:$DX$59,26,FALSE)</f>
        <v>Самара</v>
      </c>
      <c r="Q34" s="33"/>
      <c r="R34" s="79">
        <v>52.19</v>
      </c>
      <c r="S34" s="79">
        <v>30.27</v>
      </c>
      <c r="T34" s="79">
        <v>5.44</v>
      </c>
      <c r="U34" s="79">
        <v>6.1</v>
      </c>
      <c r="V34" s="81">
        <f t="shared" si="17"/>
        <v>1.01</v>
      </c>
      <c r="W34" s="79">
        <v>1.76</v>
      </c>
      <c r="X34" s="79">
        <v>1.14</v>
      </c>
      <c r="Y34" s="79">
        <v>0.39</v>
      </c>
      <c r="Z34" s="79">
        <v>1.1</v>
      </c>
      <c r="AA34" s="79">
        <v>0.61</v>
      </c>
      <c r="AB34" s="79">
        <v>0.73</v>
      </c>
      <c r="AC34" s="79">
        <v>4.4</v>
      </c>
      <c r="AD34" s="79">
        <v>2.7</v>
      </c>
      <c r="AE34" s="79">
        <v>1.66</v>
      </c>
      <c r="AF34" s="79">
        <v>1.65</v>
      </c>
      <c r="AG34" s="79">
        <v>1.35</v>
      </c>
      <c r="AH34" s="79">
        <v>21.8</v>
      </c>
      <c r="AI34" s="79">
        <v>0.61</v>
      </c>
      <c r="AJ34" s="79">
        <v>1.98</v>
      </c>
      <c r="AK34" s="79">
        <v>0.74</v>
      </c>
      <c r="AL34" s="79">
        <v>6.91</v>
      </c>
      <c r="AM34" s="79">
        <v>4.1</v>
      </c>
      <c r="AN34" s="79">
        <v>1.32</v>
      </c>
      <c r="AO34" s="79">
        <v>1.85</v>
      </c>
      <c r="AP34" s="79">
        <v>1.37</v>
      </c>
      <c r="AQ34" s="79">
        <v>7.3</v>
      </c>
      <c r="AR34" s="79">
        <v>4.99</v>
      </c>
      <c r="AS34" s="79">
        <v>1.95</v>
      </c>
      <c r="AT34" s="79">
        <v>1.67</v>
      </c>
      <c r="AU34" s="79">
        <v>1.45</v>
      </c>
      <c r="AV34" s="79">
        <v>6.87</v>
      </c>
      <c r="AW34" s="79">
        <v>11.13</v>
      </c>
      <c r="AX34" s="79">
        <v>3.27</v>
      </c>
      <c r="AY34" s="79">
        <v>1.14</v>
      </c>
      <c r="AZ34" s="79">
        <v>2.25</v>
      </c>
      <c r="BA34" s="79">
        <v>2.22</v>
      </c>
      <c r="BB34" s="79">
        <v>2.59</v>
      </c>
      <c r="BC34" s="79">
        <v>54.22</v>
      </c>
      <c r="BD34" s="79">
        <v>27.68</v>
      </c>
      <c r="BE34" s="79">
        <v>4.97</v>
      </c>
      <c r="BF34" s="79">
        <v>6.86</v>
      </c>
      <c r="BG34" s="81">
        <f t="shared" si="18"/>
        <v>1.01</v>
      </c>
      <c r="BH34" s="79">
        <v>2.01</v>
      </c>
      <c r="BI34" s="79">
        <v>1.13</v>
      </c>
      <c r="BJ34" s="79">
        <v>0.35</v>
      </c>
      <c r="BK34" s="79">
        <v>1.16</v>
      </c>
      <c r="BL34" s="79">
        <v>0.6</v>
      </c>
      <c r="BM34" s="79">
        <v>0.65</v>
      </c>
      <c r="BN34" s="79">
        <v>3.93</v>
      </c>
      <c r="BO34" s="79">
        <v>2.3</v>
      </c>
      <c r="BP34" s="79">
        <v>1.85</v>
      </c>
      <c r="BQ34" s="79">
        <v>1.68</v>
      </c>
      <c r="BR34" s="79">
        <v>1.24</v>
      </c>
      <c r="BS34" s="79">
        <v>19.94</v>
      </c>
      <c r="BT34" s="79">
        <v>0.94</v>
      </c>
      <c r="BU34" s="79">
        <v>2.71</v>
      </c>
      <c r="BV34" s="79">
        <v>0.64</v>
      </c>
      <c r="BW34" s="79">
        <v>4.86</v>
      </c>
      <c r="BX34" s="79">
        <v>3.74</v>
      </c>
      <c r="BY34" s="79">
        <v>1.46</v>
      </c>
      <c r="BZ34" s="79">
        <v>1.71</v>
      </c>
      <c r="CA34" s="79">
        <v>1.51</v>
      </c>
      <c r="CB34" s="79">
        <v>8.96</v>
      </c>
      <c r="CC34" s="79">
        <v>4.64</v>
      </c>
      <c r="CD34" s="79">
        <v>1.83</v>
      </c>
      <c r="CE34" s="79">
        <v>1.21</v>
      </c>
      <c r="CF34" s="79">
        <v>3.16</v>
      </c>
      <c r="CG34" s="79">
        <v>6.64</v>
      </c>
      <c r="CH34" s="79">
        <v>15.11</v>
      </c>
      <c r="CI34" s="79">
        <v>2.93</v>
      </c>
      <c r="CJ34" s="79">
        <v>1.11</v>
      </c>
      <c r="CK34" s="79">
        <v>1.04</v>
      </c>
      <c r="CL34" s="79">
        <v>2.41</v>
      </c>
      <c r="CM34" s="79">
        <v>1.79</v>
      </c>
      <c r="CN34" s="79">
        <v>54.68</v>
      </c>
      <c r="CO34" s="79">
        <v>29.65</v>
      </c>
      <c r="CP34" s="79">
        <v>4.99</v>
      </c>
      <c r="CQ34" s="79">
        <v>4.31</v>
      </c>
      <c r="CR34" s="81">
        <f t="shared" si="19"/>
        <v>0.86</v>
      </c>
      <c r="CS34" s="79">
        <v>1.81</v>
      </c>
      <c r="CT34" s="79">
        <v>1.56</v>
      </c>
      <c r="CU34" s="79">
        <v>0.38</v>
      </c>
      <c r="CV34" s="79">
        <v>1.2</v>
      </c>
      <c r="CW34" s="79">
        <v>0.55</v>
      </c>
      <c r="CX34" s="79">
        <v>1.36</v>
      </c>
      <c r="CY34" s="79">
        <v>4.27</v>
      </c>
      <c r="CZ34" s="79">
        <v>1.2</v>
      </c>
      <c r="DA34" s="79">
        <v>2</v>
      </c>
      <c r="DB34" s="79">
        <v>1.84</v>
      </c>
      <c r="DC34" s="79">
        <v>1.22</v>
      </c>
      <c r="DD34" s="79">
        <v>26.26</v>
      </c>
      <c r="DE34" s="79">
        <v>0.81</v>
      </c>
      <c r="DF34" s="79">
        <v>1.73</v>
      </c>
      <c r="DG34" s="79">
        <v>0.73</v>
      </c>
      <c r="DH34" s="79">
        <v>5.16</v>
      </c>
      <c r="DI34" s="79">
        <v>3.23</v>
      </c>
      <c r="DJ34" s="79">
        <v>2.27</v>
      </c>
      <c r="DK34" s="79">
        <v>1.77</v>
      </c>
      <c r="DL34" s="79">
        <v>1.82</v>
      </c>
      <c r="DM34" s="79">
        <v>6.97</v>
      </c>
      <c r="DN34" s="79">
        <v>4.91</v>
      </c>
      <c r="DO34" s="79">
        <v>1.46</v>
      </c>
      <c r="DP34" s="79">
        <v>1.73</v>
      </c>
      <c r="DQ34" s="79">
        <v>3.11</v>
      </c>
      <c r="DR34" s="79">
        <v>7.63</v>
      </c>
      <c r="DS34" s="79">
        <v>8.36</v>
      </c>
      <c r="DT34" s="79">
        <v>3.25</v>
      </c>
      <c r="DU34" s="79">
        <v>1.4</v>
      </c>
      <c r="DV34" s="79">
        <v>1.11</v>
      </c>
      <c r="DW34" s="79">
        <v>2.19</v>
      </c>
      <c r="DX34" s="79">
        <v>2.2</v>
      </c>
      <c r="DY34" s="53">
        <f>(M34-G34)/G34*100</f>
        <v>-14.851485148514854</v>
      </c>
      <c r="DZ34" s="34" t="str">
        <f>IF(N34&lt;H34,"+",IF(N34=H34,"=",IF(N34&gt;H34,"-")))</f>
        <v>=</v>
      </c>
    </row>
    <row r="35" spans="1:130" ht="25.5">
      <c r="A35" s="31" t="s">
        <v>162</v>
      </c>
      <c r="B35" s="32" t="s">
        <v>163</v>
      </c>
      <c r="C35" s="78">
        <v>25.56</v>
      </c>
      <c r="D35" s="66">
        <f t="shared" si="14"/>
        <v>9</v>
      </c>
      <c r="E35" s="55">
        <f t="shared" si="20"/>
        <v>76.52</v>
      </c>
      <c r="F35" s="74" t="str">
        <f>HLOOKUP(E35,$R35:$AA$59,25,FALSE)</f>
        <v> Самара</v>
      </c>
      <c r="G35" s="78">
        <v>28.3</v>
      </c>
      <c r="H35" s="66">
        <f t="shared" si="15"/>
        <v>9</v>
      </c>
      <c r="I35" s="55">
        <f t="shared" si="21"/>
        <v>81.87</v>
      </c>
      <c r="J35" s="74" t="str">
        <f>HLOOKUP(I35,$BC35:$CM$59,25,FALSE)</f>
        <v>Самара</v>
      </c>
      <c r="K35" s="81">
        <f t="shared" si="16"/>
        <v>10.72</v>
      </c>
      <c r="L35" s="45" t="s">
        <v>239</v>
      </c>
      <c r="M35" s="78">
        <v>24.07</v>
      </c>
      <c r="N35" s="66">
        <f>IF(LEFT($M$2,2)&lt;"11",RANK(M35,CN35:CW35),RANK(M35,CX35:DX35))</f>
        <v>10</v>
      </c>
      <c r="O35" s="55">
        <f>IF(LEFT($M$2)&lt;"10",MAXA(CN35:CW35),MAXA(CX35:DX35))</f>
        <v>96.32</v>
      </c>
      <c r="P35" s="74" t="str">
        <f>HLOOKUP(O35,$CN35:$DX$59,25,FALSE)</f>
        <v>Самара</v>
      </c>
      <c r="Q35" s="33"/>
      <c r="R35" s="79">
        <v>76.52</v>
      </c>
      <c r="S35" s="79">
        <v>70.57</v>
      </c>
      <c r="T35" s="79">
        <v>52.83</v>
      </c>
      <c r="U35" s="79">
        <v>51.14</v>
      </c>
      <c r="V35" s="81">
        <f t="shared" si="17"/>
        <v>25.56</v>
      </c>
      <c r="W35" s="79">
        <v>41.64</v>
      </c>
      <c r="X35" s="79">
        <v>34.79</v>
      </c>
      <c r="Y35" s="79">
        <v>23.3</v>
      </c>
      <c r="Z35" s="79">
        <v>34.81</v>
      </c>
      <c r="AA35" s="79">
        <v>33.21</v>
      </c>
      <c r="AB35" s="79">
        <v>13</v>
      </c>
      <c r="AC35" s="79">
        <v>25.28</v>
      </c>
      <c r="AD35" s="79">
        <v>35.11</v>
      </c>
      <c r="AE35" s="79">
        <v>19.9</v>
      </c>
      <c r="AF35" s="79">
        <v>20.32</v>
      </c>
      <c r="AG35" s="79">
        <v>17.57</v>
      </c>
      <c r="AH35" s="79">
        <v>69.12</v>
      </c>
      <c r="AI35" s="79">
        <v>15.78</v>
      </c>
      <c r="AJ35" s="79">
        <v>19.15</v>
      </c>
      <c r="AK35" s="79">
        <v>15.02</v>
      </c>
      <c r="AL35" s="79">
        <v>53.68</v>
      </c>
      <c r="AM35" s="79">
        <v>17.32</v>
      </c>
      <c r="AN35" s="79">
        <v>15.39</v>
      </c>
      <c r="AO35" s="79">
        <v>22.81</v>
      </c>
      <c r="AP35" s="79">
        <v>13.82</v>
      </c>
      <c r="AQ35" s="79">
        <v>30.84</v>
      </c>
      <c r="AR35" s="79">
        <v>32.31</v>
      </c>
      <c r="AS35" s="79">
        <v>22.74</v>
      </c>
      <c r="AT35" s="79">
        <v>17.16</v>
      </c>
      <c r="AU35" s="79">
        <v>14.06</v>
      </c>
      <c r="AV35" s="79">
        <v>23.79</v>
      </c>
      <c r="AW35" s="79">
        <v>60.47</v>
      </c>
      <c r="AX35" s="79">
        <v>30.11</v>
      </c>
      <c r="AY35" s="79">
        <v>12.62</v>
      </c>
      <c r="AZ35" s="79">
        <v>23.11</v>
      </c>
      <c r="BA35" s="79">
        <v>21.49</v>
      </c>
      <c r="BB35" s="79">
        <v>25.91</v>
      </c>
      <c r="BC35" s="79">
        <v>81.87</v>
      </c>
      <c r="BD35" s="79">
        <v>81.13</v>
      </c>
      <c r="BE35" s="79">
        <v>44.59</v>
      </c>
      <c r="BF35" s="79">
        <v>76.35</v>
      </c>
      <c r="BG35" s="81">
        <f t="shared" si="18"/>
        <v>28.3</v>
      </c>
      <c r="BH35" s="79">
        <v>55.15</v>
      </c>
      <c r="BI35" s="79">
        <v>43.59</v>
      </c>
      <c r="BJ35" s="79">
        <v>23.48</v>
      </c>
      <c r="BK35" s="79">
        <v>41.02</v>
      </c>
      <c r="BL35" s="79">
        <v>39.58</v>
      </c>
      <c r="BM35" s="79">
        <v>10.15</v>
      </c>
      <c r="BN35" s="79">
        <v>15.99</v>
      </c>
      <c r="BO35" s="79">
        <v>28.25</v>
      </c>
      <c r="BP35" s="79">
        <v>13.66</v>
      </c>
      <c r="BQ35" s="79">
        <v>19.52</v>
      </c>
      <c r="BR35" s="79">
        <v>18.67</v>
      </c>
      <c r="BS35" s="79">
        <v>67.04</v>
      </c>
      <c r="BT35" s="79">
        <v>21.06</v>
      </c>
      <c r="BU35" s="79">
        <v>31.38</v>
      </c>
      <c r="BV35" s="79">
        <v>14.4</v>
      </c>
      <c r="BW35" s="79">
        <v>31.29</v>
      </c>
      <c r="BX35" s="79">
        <v>20.75</v>
      </c>
      <c r="BY35" s="79">
        <v>17.38</v>
      </c>
      <c r="BZ35" s="79">
        <v>20.63</v>
      </c>
      <c r="CA35" s="79">
        <v>12.33</v>
      </c>
      <c r="CB35" s="79">
        <v>35.94</v>
      </c>
      <c r="CC35" s="79">
        <v>27.98</v>
      </c>
      <c r="CD35" s="79">
        <v>22.15</v>
      </c>
      <c r="CE35" s="79">
        <v>12.17</v>
      </c>
      <c r="CF35" s="79">
        <v>30.46</v>
      </c>
      <c r="CG35" s="79">
        <v>19.09</v>
      </c>
      <c r="CH35" s="79">
        <v>59.48</v>
      </c>
      <c r="CI35" s="79">
        <v>22.96</v>
      </c>
      <c r="CJ35" s="79">
        <v>12.03</v>
      </c>
      <c r="CK35" s="79">
        <v>11.36</v>
      </c>
      <c r="CL35" s="79">
        <v>18.55</v>
      </c>
      <c r="CM35" s="79">
        <v>18.02</v>
      </c>
      <c r="CN35" s="79">
        <v>96.32</v>
      </c>
      <c r="CO35" s="79">
        <v>92.5</v>
      </c>
      <c r="CP35" s="79">
        <v>78.43</v>
      </c>
      <c r="CQ35" s="79">
        <v>71.06</v>
      </c>
      <c r="CR35" s="81">
        <f t="shared" si="19"/>
        <v>24.07</v>
      </c>
      <c r="CS35" s="79">
        <v>84.12</v>
      </c>
      <c r="CT35" s="79">
        <v>42.9</v>
      </c>
      <c r="CU35" s="79">
        <v>47.05</v>
      </c>
      <c r="CV35" s="79">
        <v>53.62</v>
      </c>
      <c r="CW35" s="79">
        <v>40.7</v>
      </c>
      <c r="CX35" s="79">
        <v>42.08</v>
      </c>
      <c r="CY35" s="79">
        <v>45.82</v>
      </c>
      <c r="CZ35" s="79">
        <v>29.52</v>
      </c>
      <c r="DA35" s="79">
        <v>36.41</v>
      </c>
      <c r="DB35" s="79">
        <v>34.27</v>
      </c>
      <c r="DC35" s="79">
        <v>25.26</v>
      </c>
      <c r="DD35" s="79">
        <v>78.47</v>
      </c>
      <c r="DE35" s="79">
        <v>37.65</v>
      </c>
      <c r="DF35" s="79">
        <v>28.64</v>
      </c>
      <c r="DG35" s="79">
        <v>20.68</v>
      </c>
      <c r="DH35" s="79">
        <v>50.9</v>
      </c>
      <c r="DI35" s="79">
        <v>20.44</v>
      </c>
      <c r="DJ35" s="79">
        <v>39.89</v>
      </c>
      <c r="DK35" s="79">
        <v>30.27</v>
      </c>
      <c r="DL35" s="79">
        <v>38.04</v>
      </c>
      <c r="DM35" s="79">
        <v>56.12</v>
      </c>
      <c r="DN35" s="79">
        <v>59.78</v>
      </c>
      <c r="DO35" s="79">
        <v>33.77</v>
      </c>
      <c r="DP35" s="79">
        <v>25.84</v>
      </c>
      <c r="DQ35" s="79">
        <v>35.87</v>
      </c>
      <c r="DR35" s="79">
        <v>50.09</v>
      </c>
      <c r="DS35" s="79">
        <v>53.17</v>
      </c>
      <c r="DT35" s="79">
        <v>39.02</v>
      </c>
      <c r="DU35" s="79">
        <v>27.67</v>
      </c>
      <c r="DV35" s="79">
        <v>23.04</v>
      </c>
      <c r="DW35" s="79">
        <v>21.4</v>
      </c>
      <c r="DX35" s="79">
        <v>35.2</v>
      </c>
      <c r="DY35" s="53">
        <f>(M35-G35)/G35*100</f>
        <v>-14.946996466431099</v>
      </c>
      <c r="DZ35" s="34" t="str">
        <f>IF(N35&lt;H35,"+",IF(N35=H35,"=",IF(N35&gt;H35,"-")))</f>
        <v>-</v>
      </c>
    </row>
    <row r="36" spans="1:130" ht="12.75">
      <c r="A36" s="31" t="s">
        <v>181</v>
      </c>
      <c r="B36" s="32" t="s">
        <v>182</v>
      </c>
      <c r="C36" s="78">
        <v>39128</v>
      </c>
      <c r="D36" s="66">
        <f t="shared" si="14"/>
        <v>6</v>
      </c>
      <c r="E36" s="55">
        <f t="shared" si="20"/>
        <v>428485</v>
      </c>
      <c r="F36" s="74" t="str">
        <f>HLOOKUP(E36,$R36:$AA$59,24,FALSE)</f>
        <v> Самара</v>
      </c>
      <c r="G36" s="78">
        <v>30183</v>
      </c>
      <c r="H36" s="66">
        <f t="shared" si="15"/>
        <v>7</v>
      </c>
      <c r="I36" s="55">
        <f t="shared" si="21"/>
        <v>494685</v>
      </c>
      <c r="J36" s="74" t="str">
        <f>HLOOKUP(I36,$BC36:$CM$59,24,FALSE)</f>
        <v>Самара</v>
      </c>
      <c r="K36" s="81">
        <f t="shared" si="16"/>
        <v>-22.86</v>
      </c>
      <c r="L36" s="45" t="s">
        <v>239</v>
      </c>
      <c r="M36" s="86" t="s">
        <v>239</v>
      </c>
      <c r="N36" s="83" t="s">
        <v>239</v>
      </c>
      <c r="O36" s="84" t="s">
        <v>239</v>
      </c>
      <c r="P36" s="84" t="s">
        <v>239</v>
      </c>
      <c r="Q36" s="33"/>
      <c r="R36" s="79">
        <v>428485</v>
      </c>
      <c r="S36" s="79">
        <v>388210</v>
      </c>
      <c r="T36" s="79">
        <v>71380</v>
      </c>
      <c r="U36" s="79">
        <v>21314</v>
      </c>
      <c r="V36" s="81">
        <f t="shared" si="17"/>
        <v>39128</v>
      </c>
      <c r="W36" s="79">
        <v>40905</v>
      </c>
      <c r="X36" s="79">
        <v>40267</v>
      </c>
      <c r="Y36" s="79">
        <v>12967</v>
      </c>
      <c r="Z36" s="79">
        <v>30956</v>
      </c>
      <c r="AA36" s="79">
        <v>10647</v>
      </c>
      <c r="AB36" s="79">
        <v>5052</v>
      </c>
      <c r="AC36" s="79">
        <v>22684</v>
      </c>
      <c r="AD36" s="79">
        <v>12908</v>
      </c>
      <c r="AE36" s="79">
        <v>6643</v>
      </c>
      <c r="AF36" s="79">
        <v>5447</v>
      </c>
      <c r="AG36" s="79">
        <v>12050</v>
      </c>
      <c r="AH36" s="79">
        <v>7503</v>
      </c>
      <c r="AI36" s="79">
        <v>5918</v>
      </c>
      <c r="AJ36" s="79">
        <v>3934</v>
      </c>
      <c r="AK36" s="79">
        <v>2602</v>
      </c>
      <c r="AL36" s="79">
        <v>9797</v>
      </c>
      <c r="AM36" s="79">
        <v>26804</v>
      </c>
      <c r="AN36" s="79">
        <v>4280</v>
      </c>
      <c r="AO36" s="79">
        <v>7118</v>
      </c>
      <c r="AP36" s="79">
        <v>8981</v>
      </c>
      <c r="AQ36" s="79">
        <v>30522</v>
      </c>
      <c r="AR36" s="79">
        <v>13684</v>
      </c>
      <c r="AS36" s="79">
        <v>6141</v>
      </c>
      <c r="AT36" s="79">
        <v>10078</v>
      </c>
      <c r="AU36" s="79">
        <v>8669</v>
      </c>
      <c r="AV36" s="79">
        <v>17678</v>
      </c>
      <c r="AW36" s="79">
        <v>30764</v>
      </c>
      <c r="AX36" s="79">
        <v>12148</v>
      </c>
      <c r="AY36" s="79">
        <v>4980</v>
      </c>
      <c r="AZ36" s="79">
        <v>7124</v>
      </c>
      <c r="BA36" s="79">
        <v>3697</v>
      </c>
      <c r="BB36" s="79">
        <v>6767</v>
      </c>
      <c r="BC36" s="79">
        <v>494685</v>
      </c>
      <c r="BD36" s="79">
        <v>409103</v>
      </c>
      <c r="BE36" s="79">
        <v>72527</v>
      </c>
      <c r="BF36" s="79">
        <v>27250</v>
      </c>
      <c r="BG36" s="81">
        <f t="shared" si="18"/>
        <v>30183</v>
      </c>
      <c r="BH36" s="79">
        <v>42151</v>
      </c>
      <c r="BI36" s="79">
        <v>42658</v>
      </c>
      <c r="BJ36" s="79">
        <v>13186</v>
      </c>
      <c r="BK36" s="79">
        <v>30932</v>
      </c>
      <c r="BL36" s="79">
        <v>11094</v>
      </c>
      <c r="BM36" s="79">
        <v>4727</v>
      </c>
      <c r="BN36" s="79">
        <v>23215</v>
      </c>
      <c r="BO36" s="79">
        <v>11877</v>
      </c>
      <c r="BP36" s="79">
        <v>6887</v>
      </c>
      <c r="BQ36" s="79">
        <v>6111</v>
      </c>
      <c r="BR36" s="79">
        <v>10507</v>
      </c>
      <c r="BS36" s="79">
        <v>4258</v>
      </c>
      <c r="BT36" s="79">
        <v>11708</v>
      </c>
      <c r="BU36" s="79">
        <v>5215</v>
      </c>
      <c r="BV36" s="79">
        <v>2975</v>
      </c>
      <c r="BW36" s="79">
        <v>18937</v>
      </c>
      <c r="BX36" s="79">
        <v>29480</v>
      </c>
      <c r="BY36" s="79">
        <v>4441</v>
      </c>
      <c r="BZ36" s="79">
        <v>15043</v>
      </c>
      <c r="CA36" s="79">
        <v>9205</v>
      </c>
      <c r="CB36" s="79">
        <v>29563</v>
      </c>
      <c r="CC36" s="79">
        <v>4792</v>
      </c>
      <c r="CD36" s="79">
        <v>9424</v>
      </c>
      <c r="CE36" s="79">
        <v>9957</v>
      </c>
      <c r="CF36" s="79">
        <v>9085</v>
      </c>
      <c r="CG36" s="79">
        <v>15699</v>
      </c>
      <c r="CH36" s="79">
        <v>34653</v>
      </c>
      <c r="CI36" s="79">
        <v>12928</v>
      </c>
      <c r="CJ36" s="79">
        <v>5134</v>
      </c>
      <c r="CK36" s="79">
        <v>5729</v>
      </c>
      <c r="CL36" s="79">
        <v>3979</v>
      </c>
      <c r="CM36" s="79">
        <v>10152</v>
      </c>
      <c r="CN36" s="79"/>
      <c r="CO36" s="79"/>
      <c r="CP36" s="79"/>
      <c r="CQ36" s="79"/>
      <c r="CR36" s="81" t="str">
        <f t="shared" si="19"/>
        <v>х</v>
      </c>
      <c r="CS36" s="79"/>
      <c r="CT36" s="79"/>
      <c r="CU36" s="79"/>
      <c r="CV36" s="79"/>
      <c r="CW36" s="79"/>
      <c r="CX36" s="79"/>
      <c r="CY36" s="79"/>
      <c r="CZ36" s="79"/>
      <c r="DA36" s="79"/>
      <c r="DB36" s="79"/>
      <c r="DC36" s="79"/>
      <c r="DD36" s="79"/>
      <c r="DE36" s="79"/>
      <c r="DF36" s="79"/>
      <c r="DG36" s="79"/>
      <c r="DH36" s="79"/>
      <c r="DI36" s="79"/>
      <c r="DJ36" s="79"/>
      <c r="DK36" s="79"/>
      <c r="DL36" s="79"/>
      <c r="DM36" s="79"/>
      <c r="DN36" s="79"/>
      <c r="DO36" s="79"/>
      <c r="DP36" s="79"/>
      <c r="DQ36" s="79"/>
      <c r="DR36" s="79"/>
      <c r="DS36" s="79"/>
      <c r="DT36" s="79"/>
      <c r="DU36" s="79"/>
      <c r="DV36" s="79"/>
      <c r="DW36" s="79"/>
      <c r="DX36" s="79"/>
      <c r="DY36" s="85" t="s">
        <v>239</v>
      </c>
      <c r="DZ36" s="85" t="s">
        <v>239</v>
      </c>
    </row>
    <row r="37" spans="1:130" ht="25.5">
      <c r="A37" s="31" t="s">
        <v>183</v>
      </c>
      <c r="B37" s="32" t="s">
        <v>184</v>
      </c>
      <c r="C37" s="78">
        <v>53.6</v>
      </c>
      <c r="D37" s="66">
        <f t="shared" si="14"/>
        <v>5</v>
      </c>
      <c r="E37" s="55">
        <f t="shared" si="20"/>
        <v>84.3</v>
      </c>
      <c r="F37" s="74" t="str">
        <f>HLOOKUP(E37,$R37:$AA$59,23,FALSE)</f>
        <v>Отрадный</v>
      </c>
      <c r="G37" s="78">
        <v>41</v>
      </c>
      <c r="H37" s="66">
        <f t="shared" si="15"/>
        <v>7</v>
      </c>
      <c r="I37" s="55">
        <f t="shared" si="21"/>
        <v>87.8</v>
      </c>
      <c r="J37" s="74" t="str">
        <f>HLOOKUP(I37,$BC37:$CM$59,23,FALSE)</f>
        <v>Отрадный</v>
      </c>
      <c r="K37" s="81">
        <f t="shared" si="16"/>
        <v>-23.51</v>
      </c>
      <c r="L37" s="45" t="s">
        <v>239</v>
      </c>
      <c r="M37" s="86" t="s">
        <v>239</v>
      </c>
      <c r="N37" s="83" t="s">
        <v>239</v>
      </c>
      <c r="O37" s="84" t="s">
        <v>239</v>
      </c>
      <c r="P37" s="84" t="s">
        <v>239</v>
      </c>
      <c r="Q37" s="33"/>
      <c r="R37" s="79">
        <v>37.6</v>
      </c>
      <c r="S37" s="79">
        <v>54.1</v>
      </c>
      <c r="T37" s="79">
        <v>39.5</v>
      </c>
      <c r="U37" s="79">
        <v>18.8</v>
      </c>
      <c r="V37" s="81">
        <f t="shared" si="17"/>
        <v>53.6</v>
      </c>
      <c r="W37" s="79">
        <v>84.3</v>
      </c>
      <c r="X37" s="79">
        <v>65.4</v>
      </c>
      <c r="Y37" s="79">
        <v>48.4</v>
      </c>
      <c r="Z37" s="79">
        <v>75.3</v>
      </c>
      <c r="AA37" s="79">
        <v>36.6</v>
      </c>
      <c r="AB37" s="79">
        <v>40.7</v>
      </c>
      <c r="AC37" s="79">
        <v>54.9</v>
      </c>
      <c r="AD37" s="79">
        <v>83.5</v>
      </c>
      <c r="AE37" s="79">
        <v>31.8</v>
      </c>
      <c r="AF37" s="79">
        <v>28.3</v>
      </c>
      <c r="AG37" s="79">
        <v>49</v>
      </c>
      <c r="AH37" s="79">
        <v>9.3</v>
      </c>
      <c r="AI37" s="79">
        <v>59</v>
      </c>
      <c r="AJ37" s="79">
        <v>27.4</v>
      </c>
      <c r="AK37" s="79">
        <v>22.3</v>
      </c>
      <c r="AL37" s="79">
        <v>24.6</v>
      </c>
      <c r="AM37" s="79">
        <v>55.9</v>
      </c>
      <c r="AN37" s="79">
        <v>27.4</v>
      </c>
      <c r="AO37" s="79">
        <v>27.3</v>
      </c>
      <c r="AP37" s="79">
        <v>48.6</v>
      </c>
      <c r="AQ37" s="79">
        <v>58.1</v>
      </c>
      <c r="AR37" s="79">
        <v>43.1</v>
      </c>
      <c r="AS37" s="79">
        <v>34.5</v>
      </c>
      <c r="AT37" s="79">
        <v>35.1</v>
      </c>
      <c r="AU37" s="79">
        <v>36.2</v>
      </c>
      <c r="AV37" s="79">
        <v>38.2</v>
      </c>
      <c r="AW37" s="79">
        <v>62.6</v>
      </c>
      <c r="AX37" s="79">
        <v>46.7</v>
      </c>
      <c r="AY37" s="79">
        <v>32.8</v>
      </c>
      <c r="AZ37" s="79">
        <v>39.7</v>
      </c>
      <c r="BA37" s="79">
        <v>20.8</v>
      </c>
      <c r="BB37" s="79">
        <v>30.8</v>
      </c>
      <c r="BC37" s="79">
        <v>43.6</v>
      </c>
      <c r="BD37" s="79">
        <v>56.8</v>
      </c>
      <c r="BE37" s="79">
        <v>40.4</v>
      </c>
      <c r="BF37" s="79">
        <v>24.2</v>
      </c>
      <c r="BG37" s="81">
        <f t="shared" si="18"/>
        <v>41</v>
      </c>
      <c r="BH37" s="79">
        <v>87.8</v>
      </c>
      <c r="BI37" s="79">
        <v>68.3</v>
      </c>
      <c r="BJ37" s="79">
        <v>47.5</v>
      </c>
      <c r="BK37" s="79">
        <v>60.8</v>
      </c>
      <c r="BL37" s="79">
        <v>38.1</v>
      </c>
      <c r="BM37" s="79">
        <v>38.7</v>
      </c>
      <c r="BN37" s="79">
        <v>57.4</v>
      </c>
      <c r="BO37" s="79">
        <v>76</v>
      </c>
      <c r="BP37" s="79">
        <v>33.4</v>
      </c>
      <c r="BQ37" s="79">
        <v>33</v>
      </c>
      <c r="BR37" s="79">
        <v>42.6</v>
      </c>
      <c r="BS37" s="79">
        <v>5.2</v>
      </c>
      <c r="BT37" s="79">
        <v>117.5</v>
      </c>
      <c r="BU37" s="79">
        <v>37.1</v>
      </c>
      <c r="BV37" s="79">
        <v>25.8</v>
      </c>
      <c r="BW37" s="79">
        <v>64.1</v>
      </c>
      <c r="BX37" s="79">
        <v>61.5</v>
      </c>
      <c r="BY37" s="79">
        <v>29.4</v>
      </c>
      <c r="BZ37" s="79">
        <v>58.3</v>
      </c>
      <c r="CA37" s="79">
        <v>50.3</v>
      </c>
      <c r="CB37" s="79">
        <v>57</v>
      </c>
      <c r="CC37" s="79">
        <v>15.1</v>
      </c>
      <c r="CD37" s="79">
        <v>54.1</v>
      </c>
      <c r="CE37" s="79">
        <v>35.4</v>
      </c>
      <c r="CF37" s="79">
        <v>38</v>
      </c>
      <c r="CG37" s="79">
        <v>34.8</v>
      </c>
      <c r="CH37" s="79">
        <v>66.9</v>
      </c>
      <c r="CI37" s="79">
        <v>50.3</v>
      </c>
      <c r="CJ37" s="79">
        <v>34.5</v>
      </c>
      <c r="CK37" s="79">
        <v>32.8</v>
      </c>
      <c r="CL37" s="79">
        <v>23</v>
      </c>
      <c r="CM37" s="79">
        <v>47.9</v>
      </c>
      <c r="CN37" s="79"/>
      <c r="CO37" s="79"/>
      <c r="CP37" s="79"/>
      <c r="CQ37" s="79"/>
      <c r="CR37" s="81" t="str">
        <f t="shared" si="19"/>
        <v>х</v>
      </c>
      <c r="CS37" s="79"/>
      <c r="CT37" s="79"/>
      <c r="CU37" s="79"/>
      <c r="CV37" s="79"/>
      <c r="CW37" s="79"/>
      <c r="CX37" s="79"/>
      <c r="CY37" s="79"/>
      <c r="CZ37" s="79"/>
      <c r="DA37" s="79"/>
      <c r="DB37" s="79"/>
      <c r="DC37" s="79"/>
      <c r="DD37" s="79"/>
      <c r="DE37" s="79"/>
      <c r="DF37" s="79"/>
      <c r="DG37" s="79"/>
      <c r="DH37" s="79"/>
      <c r="DI37" s="79"/>
      <c r="DJ37" s="79"/>
      <c r="DK37" s="79"/>
      <c r="DL37" s="79"/>
      <c r="DM37" s="79"/>
      <c r="DN37" s="79"/>
      <c r="DO37" s="79"/>
      <c r="DP37" s="79"/>
      <c r="DQ37" s="79"/>
      <c r="DR37" s="79"/>
      <c r="DS37" s="79"/>
      <c r="DT37" s="79"/>
      <c r="DU37" s="79"/>
      <c r="DV37" s="79"/>
      <c r="DW37" s="79"/>
      <c r="DX37" s="79"/>
      <c r="DY37" s="85" t="s">
        <v>239</v>
      </c>
      <c r="DZ37" s="85" t="s">
        <v>239</v>
      </c>
    </row>
    <row r="38" spans="1:130" ht="25.5">
      <c r="A38" s="31" t="s">
        <v>185</v>
      </c>
      <c r="B38" s="32" t="s">
        <v>186</v>
      </c>
      <c r="C38" s="78">
        <v>16468</v>
      </c>
      <c r="D38" s="66">
        <f t="shared" si="14"/>
        <v>4</v>
      </c>
      <c r="E38" s="55">
        <f t="shared" si="20"/>
        <v>171955</v>
      </c>
      <c r="F38" s="74" t="str">
        <f>HLOOKUP(E38,$R38:$AA$59,22,FALSE)</f>
        <v> Самара</v>
      </c>
      <c r="G38" s="78">
        <v>15083</v>
      </c>
      <c r="H38" s="66">
        <f t="shared" si="15"/>
        <v>5</v>
      </c>
      <c r="I38" s="55">
        <f t="shared" si="21"/>
        <v>190594</v>
      </c>
      <c r="J38" s="74" t="str">
        <f>HLOOKUP(I38,$BC38:$CM$59,22,FALSE)</f>
        <v>Самара</v>
      </c>
      <c r="K38" s="81">
        <f t="shared" si="16"/>
        <v>-8.41</v>
      </c>
      <c r="L38" s="45" t="s">
        <v>239</v>
      </c>
      <c r="M38" s="86" t="s">
        <v>239</v>
      </c>
      <c r="N38" s="83" t="s">
        <v>239</v>
      </c>
      <c r="O38" s="84" t="s">
        <v>239</v>
      </c>
      <c r="P38" s="84" t="s">
        <v>239</v>
      </c>
      <c r="Q38" s="33"/>
      <c r="R38" s="79">
        <v>171955</v>
      </c>
      <c r="S38" s="79">
        <v>101488</v>
      </c>
      <c r="T38" s="79">
        <v>19255</v>
      </c>
      <c r="U38" s="79">
        <v>8004</v>
      </c>
      <c r="V38" s="81">
        <f t="shared" si="17"/>
        <v>16468</v>
      </c>
      <c r="W38" s="79">
        <v>11167</v>
      </c>
      <c r="X38" s="79">
        <v>9530</v>
      </c>
      <c r="Y38" s="79">
        <v>3921</v>
      </c>
      <c r="Z38" s="79">
        <v>9440</v>
      </c>
      <c r="AA38" s="79">
        <v>3295</v>
      </c>
      <c r="AB38" s="79">
        <v>1391</v>
      </c>
      <c r="AC38" s="79">
        <v>7225</v>
      </c>
      <c r="AD38" s="79">
        <v>4333</v>
      </c>
      <c r="AE38" s="79">
        <v>1505</v>
      </c>
      <c r="AF38" s="79">
        <v>1486</v>
      </c>
      <c r="AG38" s="79">
        <v>3155</v>
      </c>
      <c r="AH38" s="79">
        <v>5639</v>
      </c>
      <c r="AI38" s="79">
        <v>1335</v>
      </c>
      <c r="AJ38" s="79">
        <v>1476</v>
      </c>
      <c r="AK38" s="79">
        <v>880</v>
      </c>
      <c r="AL38" s="79">
        <v>2466</v>
      </c>
      <c r="AM38" s="79">
        <v>7806</v>
      </c>
      <c r="AN38" s="79">
        <v>1662</v>
      </c>
      <c r="AO38" s="79">
        <v>2968</v>
      </c>
      <c r="AP38" s="79">
        <v>2268</v>
      </c>
      <c r="AQ38" s="79">
        <v>7484</v>
      </c>
      <c r="AR38" s="79">
        <v>4060</v>
      </c>
      <c r="AS38" s="79">
        <v>1723</v>
      </c>
      <c r="AT38" s="79">
        <v>2881</v>
      </c>
      <c r="AU38" s="79">
        <v>2399</v>
      </c>
      <c r="AV38" s="79">
        <v>6930</v>
      </c>
      <c r="AW38" s="79">
        <v>6629</v>
      </c>
      <c r="AX38" s="79">
        <v>3547</v>
      </c>
      <c r="AY38" s="79">
        <v>1380</v>
      </c>
      <c r="AZ38" s="79">
        <v>2965</v>
      </c>
      <c r="BA38" s="79">
        <v>1380</v>
      </c>
      <c r="BB38" s="79">
        <v>1812</v>
      </c>
      <c r="BC38" s="79">
        <v>190594</v>
      </c>
      <c r="BD38" s="79">
        <v>103514</v>
      </c>
      <c r="BE38" s="79">
        <v>20402</v>
      </c>
      <c r="BF38" s="79">
        <v>10867</v>
      </c>
      <c r="BG38" s="81">
        <f t="shared" si="18"/>
        <v>15083</v>
      </c>
      <c r="BH38" s="79">
        <v>11407</v>
      </c>
      <c r="BI38" s="79">
        <v>11754</v>
      </c>
      <c r="BJ38" s="79">
        <v>9157</v>
      </c>
      <c r="BK38" s="79">
        <v>21935</v>
      </c>
      <c r="BL38" s="79">
        <v>3354</v>
      </c>
      <c r="BM38" s="79">
        <v>1403</v>
      </c>
      <c r="BN38" s="79">
        <v>7123</v>
      </c>
      <c r="BO38" s="79">
        <v>5420</v>
      </c>
      <c r="BP38" s="79">
        <v>1665</v>
      </c>
      <c r="BQ38" s="79">
        <v>1592</v>
      </c>
      <c r="BR38" s="79">
        <v>2833</v>
      </c>
      <c r="BS38" s="79">
        <v>685</v>
      </c>
      <c r="BT38" s="79">
        <v>2892</v>
      </c>
      <c r="BU38" s="79">
        <v>1608</v>
      </c>
      <c r="BV38" s="79">
        <v>1042</v>
      </c>
      <c r="BW38" s="79">
        <v>5266</v>
      </c>
      <c r="BX38" s="79">
        <v>8512</v>
      </c>
      <c r="BY38" s="79">
        <v>1743</v>
      </c>
      <c r="BZ38" s="79">
        <v>5223</v>
      </c>
      <c r="CA38" s="79">
        <v>2331</v>
      </c>
      <c r="CB38" s="79">
        <v>6770</v>
      </c>
      <c r="CC38" s="79">
        <v>1738</v>
      </c>
      <c r="CD38" s="79">
        <v>2591</v>
      </c>
      <c r="CE38" s="79">
        <v>2869</v>
      </c>
      <c r="CF38" s="79">
        <v>2474</v>
      </c>
      <c r="CG38" s="79">
        <v>4389</v>
      </c>
      <c r="CH38" s="79">
        <v>10063</v>
      </c>
      <c r="CI38" s="79">
        <v>3939</v>
      </c>
      <c r="CJ38" s="79">
        <v>1468</v>
      </c>
      <c r="CK38" s="79">
        <v>1372</v>
      </c>
      <c r="CL38" s="79">
        <v>1516</v>
      </c>
      <c r="CM38" s="79">
        <v>3102</v>
      </c>
      <c r="CN38" s="79"/>
      <c r="CO38" s="79"/>
      <c r="CP38" s="79"/>
      <c r="CQ38" s="79"/>
      <c r="CR38" s="81" t="str">
        <f t="shared" si="19"/>
        <v>х</v>
      </c>
      <c r="CS38" s="79"/>
      <c r="CT38" s="79"/>
      <c r="CU38" s="79"/>
      <c r="CV38" s="79"/>
      <c r="CW38" s="79"/>
      <c r="CX38" s="79"/>
      <c r="CY38" s="79"/>
      <c r="CZ38" s="79"/>
      <c r="DA38" s="79"/>
      <c r="DB38" s="79"/>
      <c r="DC38" s="79"/>
      <c r="DD38" s="79"/>
      <c r="DE38" s="79"/>
      <c r="DF38" s="79"/>
      <c r="DG38" s="79"/>
      <c r="DH38" s="79"/>
      <c r="DI38" s="79"/>
      <c r="DJ38" s="79"/>
      <c r="DK38" s="79"/>
      <c r="DL38" s="79"/>
      <c r="DM38" s="79"/>
      <c r="DN38" s="79"/>
      <c r="DO38" s="79"/>
      <c r="DP38" s="79"/>
      <c r="DQ38" s="79"/>
      <c r="DR38" s="79"/>
      <c r="DS38" s="79"/>
      <c r="DT38" s="79"/>
      <c r="DU38" s="79"/>
      <c r="DV38" s="79"/>
      <c r="DW38" s="79"/>
      <c r="DX38" s="79"/>
      <c r="DY38" s="85" t="s">
        <v>239</v>
      </c>
      <c r="DZ38" s="85" t="s">
        <v>239</v>
      </c>
    </row>
    <row r="39" spans="1:130" ht="25.5">
      <c r="A39" s="31" t="s">
        <v>187</v>
      </c>
      <c r="B39" s="32" t="s">
        <v>188</v>
      </c>
      <c r="C39" s="78">
        <v>42.1</v>
      </c>
      <c r="D39" s="66">
        <f t="shared" si="14"/>
        <v>1</v>
      </c>
      <c r="E39" s="55">
        <f t="shared" si="20"/>
        <v>42.1</v>
      </c>
      <c r="F39" s="74" t="str">
        <f>HLOOKUP(E39,$R39:$AA$59,21,FALSE)</f>
        <v>Чапаевск</v>
      </c>
      <c r="G39" s="78">
        <v>50</v>
      </c>
      <c r="H39" s="66">
        <f t="shared" si="15"/>
        <v>1</v>
      </c>
      <c r="I39" s="55">
        <f t="shared" si="21"/>
        <v>50</v>
      </c>
      <c r="J39" s="74" t="str">
        <f>HLOOKUP(I39,$BC39:$CM$59,21,FALSE)</f>
        <v>Чапаевск</v>
      </c>
      <c r="K39" s="81">
        <f t="shared" si="16"/>
        <v>18.76</v>
      </c>
      <c r="L39" s="45" t="s">
        <v>239</v>
      </c>
      <c r="M39" s="86" t="s">
        <v>239</v>
      </c>
      <c r="N39" s="83" t="s">
        <v>239</v>
      </c>
      <c r="O39" s="84" t="s">
        <v>239</v>
      </c>
      <c r="P39" s="84" t="s">
        <v>239</v>
      </c>
      <c r="Q39" s="33"/>
      <c r="R39" s="79">
        <v>40.1</v>
      </c>
      <c r="S39" s="79">
        <v>26.1</v>
      </c>
      <c r="T39" s="79">
        <v>27</v>
      </c>
      <c r="U39" s="79">
        <v>37.6</v>
      </c>
      <c r="V39" s="81">
        <f t="shared" si="17"/>
        <v>42.1</v>
      </c>
      <c r="W39" s="79">
        <v>27.3</v>
      </c>
      <c r="X39" s="79">
        <v>23.7</v>
      </c>
      <c r="Y39" s="79">
        <v>30.2</v>
      </c>
      <c r="Z39" s="79">
        <v>30.5</v>
      </c>
      <c r="AA39" s="79">
        <v>30.9</v>
      </c>
      <c r="AB39" s="79">
        <v>27.5</v>
      </c>
      <c r="AC39" s="79">
        <v>31.9</v>
      </c>
      <c r="AD39" s="79">
        <v>33.6</v>
      </c>
      <c r="AE39" s="79">
        <v>22.7</v>
      </c>
      <c r="AF39" s="79">
        <v>27.3</v>
      </c>
      <c r="AG39" s="79">
        <v>26.2</v>
      </c>
      <c r="AH39" s="79">
        <v>75.2</v>
      </c>
      <c r="AI39" s="79">
        <v>22.6</v>
      </c>
      <c r="AJ39" s="79">
        <v>37.5</v>
      </c>
      <c r="AK39" s="79">
        <v>33.8</v>
      </c>
      <c r="AL39" s="79">
        <v>25.2</v>
      </c>
      <c r="AM39" s="79">
        <v>29.1</v>
      </c>
      <c r="AN39" s="79">
        <v>38.8</v>
      </c>
      <c r="AO39" s="79">
        <v>41.7</v>
      </c>
      <c r="AP39" s="79">
        <v>25.3</v>
      </c>
      <c r="AQ39" s="79">
        <v>24.5</v>
      </c>
      <c r="AR39" s="79">
        <v>29.7</v>
      </c>
      <c r="AS39" s="79">
        <v>28.1</v>
      </c>
      <c r="AT39" s="79">
        <v>28.6</v>
      </c>
      <c r="AU39" s="79">
        <v>27.7</v>
      </c>
      <c r="AV39" s="79">
        <v>39.2</v>
      </c>
      <c r="AW39" s="79">
        <v>21.5</v>
      </c>
      <c r="AX39" s="79">
        <v>29.2</v>
      </c>
      <c r="AY39" s="79">
        <v>27.7</v>
      </c>
      <c r="AZ39" s="79">
        <v>41.6</v>
      </c>
      <c r="BA39" s="79">
        <v>37.3</v>
      </c>
      <c r="BB39" s="79">
        <v>26.8</v>
      </c>
      <c r="BC39" s="79">
        <v>38.5</v>
      </c>
      <c r="BD39" s="79">
        <v>25.3</v>
      </c>
      <c r="BE39" s="79">
        <v>28.1</v>
      </c>
      <c r="BF39" s="79">
        <v>39.9</v>
      </c>
      <c r="BG39" s="81">
        <f t="shared" si="18"/>
        <v>50</v>
      </c>
      <c r="BH39" s="79">
        <v>27.1</v>
      </c>
      <c r="BI39" s="79">
        <v>27.6</v>
      </c>
      <c r="BJ39" s="79">
        <v>30.6</v>
      </c>
      <c r="BK39" s="79">
        <v>29.1</v>
      </c>
      <c r="BL39" s="79">
        <v>30.2</v>
      </c>
      <c r="BM39" s="79">
        <v>29.7</v>
      </c>
      <c r="BN39" s="79">
        <v>30.7</v>
      </c>
      <c r="BO39" s="79">
        <v>45.6</v>
      </c>
      <c r="BP39" s="79">
        <v>24.2</v>
      </c>
      <c r="BQ39" s="79">
        <v>26.1</v>
      </c>
      <c r="BR39" s="79">
        <v>27</v>
      </c>
      <c r="BS39" s="79">
        <v>16.1</v>
      </c>
      <c r="BT39" s="79">
        <v>24.7</v>
      </c>
      <c r="BU39" s="79">
        <v>30.8</v>
      </c>
      <c r="BV39" s="79">
        <v>35</v>
      </c>
      <c r="BW39" s="79">
        <v>27.8</v>
      </c>
      <c r="BX39" s="79">
        <v>28.9</v>
      </c>
      <c r="BY39" s="79">
        <v>39.2</v>
      </c>
      <c r="BZ39" s="79">
        <v>34.7</v>
      </c>
      <c r="CA39" s="79">
        <v>25.3</v>
      </c>
      <c r="CB39" s="79">
        <v>22.9</v>
      </c>
      <c r="CC39" s="79">
        <v>36.3</v>
      </c>
      <c r="CD39" s="79">
        <v>27.5</v>
      </c>
      <c r="CE39" s="79">
        <v>28.8</v>
      </c>
      <c r="CF39" s="79">
        <v>27.2</v>
      </c>
      <c r="CG39" s="79">
        <v>28</v>
      </c>
      <c r="CH39" s="79">
        <v>29</v>
      </c>
      <c r="CI39" s="79">
        <v>30.5</v>
      </c>
      <c r="CJ39" s="79">
        <v>28.6</v>
      </c>
      <c r="CK39" s="79">
        <v>23.9</v>
      </c>
      <c r="CL39" s="79">
        <v>38.1</v>
      </c>
      <c r="CM39" s="79">
        <v>30.6</v>
      </c>
      <c r="CN39" s="79"/>
      <c r="CO39" s="79"/>
      <c r="CP39" s="79"/>
      <c r="CQ39" s="79"/>
      <c r="CR39" s="81" t="str">
        <f t="shared" si="19"/>
        <v>х</v>
      </c>
      <c r="CS39" s="79"/>
      <c r="CT39" s="79"/>
      <c r="CU39" s="79"/>
      <c r="CV39" s="79"/>
      <c r="CW39" s="79"/>
      <c r="CX39" s="79"/>
      <c r="CY39" s="79"/>
      <c r="CZ39" s="79"/>
      <c r="DA39" s="79"/>
      <c r="DB39" s="79"/>
      <c r="DC39" s="79"/>
      <c r="DD39" s="79"/>
      <c r="DE39" s="79"/>
      <c r="DF39" s="79"/>
      <c r="DG39" s="79"/>
      <c r="DH39" s="79"/>
      <c r="DI39" s="79"/>
      <c r="DJ39" s="79"/>
      <c r="DK39" s="79"/>
      <c r="DL39" s="79"/>
      <c r="DM39" s="79"/>
      <c r="DN39" s="79"/>
      <c r="DO39" s="79"/>
      <c r="DP39" s="79"/>
      <c r="DQ39" s="79"/>
      <c r="DR39" s="79"/>
      <c r="DS39" s="79"/>
      <c r="DT39" s="79"/>
      <c r="DU39" s="79"/>
      <c r="DV39" s="79"/>
      <c r="DW39" s="79"/>
      <c r="DX39" s="79"/>
      <c r="DY39" s="85" t="s">
        <v>239</v>
      </c>
      <c r="DZ39" s="85" t="s">
        <v>239</v>
      </c>
    </row>
    <row r="40" spans="1:130" ht="15.75" customHeight="1">
      <c r="A40" s="31" t="s">
        <v>189</v>
      </c>
      <c r="B40" s="32" t="s">
        <v>190</v>
      </c>
      <c r="C40" s="78">
        <v>8205</v>
      </c>
      <c r="D40" s="66">
        <f t="shared" si="14"/>
        <v>8</v>
      </c>
      <c r="E40" s="55">
        <f t="shared" si="20"/>
        <v>32556</v>
      </c>
      <c r="F40" s="74" t="str">
        <f>HLOOKUP(E40,$R40:$AA$59,20,FALSE)</f>
        <v> Самара</v>
      </c>
      <c r="G40" s="78">
        <v>8444</v>
      </c>
      <c r="H40" s="66">
        <f t="shared" si="15"/>
        <v>7</v>
      </c>
      <c r="I40" s="55">
        <f t="shared" si="21"/>
        <v>32581</v>
      </c>
      <c r="J40" s="74" t="str">
        <f>HLOOKUP(I40,$BC40:$CM$59,20,FALSE)</f>
        <v>Самара</v>
      </c>
      <c r="K40" s="81">
        <f t="shared" si="16"/>
        <v>2.91</v>
      </c>
      <c r="L40" s="45" t="s">
        <v>239</v>
      </c>
      <c r="M40" s="86" t="s">
        <v>239</v>
      </c>
      <c r="N40" s="83" t="s">
        <v>239</v>
      </c>
      <c r="O40" s="84" t="s">
        <v>239</v>
      </c>
      <c r="P40" s="84" t="s">
        <v>239</v>
      </c>
      <c r="Q40" s="33"/>
      <c r="R40" s="79">
        <v>32556</v>
      </c>
      <c r="S40" s="79">
        <v>9770</v>
      </c>
      <c r="T40" s="79">
        <v>22349</v>
      </c>
      <c r="U40" s="79">
        <v>9975</v>
      </c>
      <c r="V40" s="81">
        <f t="shared" si="17"/>
        <v>8205</v>
      </c>
      <c r="W40" s="79">
        <v>6888</v>
      </c>
      <c r="X40" s="79">
        <v>21713</v>
      </c>
      <c r="Y40" s="79">
        <v>9248</v>
      </c>
      <c r="Z40" s="79">
        <v>8776</v>
      </c>
      <c r="AA40" s="79">
        <v>5787</v>
      </c>
      <c r="AB40" s="79">
        <v>7142</v>
      </c>
      <c r="AC40" s="79">
        <v>3639</v>
      </c>
      <c r="AD40" s="79">
        <v>7509</v>
      </c>
      <c r="AE40" s="79">
        <v>2498</v>
      </c>
      <c r="AF40" s="79">
        <v>6134</v>
      </c>
      <c r="AG40" s="79">
        <v>11725</v>
      </c>
      <c r="AH40" s="79">
        <v>3352</v>
      </c>
      <c r="AI40" s="79">
        <v>3009</v>
      </c>
      <c r="AJ40" s="79">
        <v>4381</v>
      </c>
      <c r="AK40" s="79">
        <v>1361</v>
      </c>
      <c r="AL40" s="79">
        <v>3943</v>
      </c>
      <c r="AM40" s="79">
        <v>10761</v>
      </c>
      <c r="AN40" s="79">
        <v>2113</v>
      </c>
      <c r="AO40" s="79">
        <v>3838</v>
      </c>
      <c r="AP40" s="79">
        <v>3943</v>
      </c>
      <c r="AQ40" s="79">
        <v>31183</v>
      </c>
      <c r="AR40" s="79">
        <v>17610</v>
      </c>
      <c r="AS40" s="79">
        <v>2961</v>
      </c>
      <c r="AT40" s="79">
        <v>10882</v>
      </c>
      <c r="AU40" s="79">
        <v>3122</v>
      </c>
      <c r="AV40" s="79">
        <v>9127</v>
      </c>
      <c r="AW40" s="79">
        <v>79767</v>
      </c>
      <c r="AX40" s="79">
        <v>7756</v>
      </c>
      <c r="AY40" s="79">
        <v>3194</v>
      </c>
      <c r="AZ40" s="79">
        <v>2579</v>
      </c>
      <c r="BA40" s="79">
        <v>2578</v>
      </c>
      <c r="BB40" s="79">
        <v>7171</v>
      </c>
      <c r="BC40" s="79">
        <v>32581</v>
      </c>
      <c r="BD40" s="79">
        <v>13471</v>
      </c>
      <c r="BE40" s="79">
        <v>21852</v>
      </c>
      <c r="BF40" s="79">
        <v>11327</v>
      </c>
      <c r="BG40" s="81">
        <f t="shared" si="18"/>
        <v>8444</v>
      </c>
      <c r="BH40" s="79">
        <v>7779</v>
      </c>
      <c r="BI40" s="79">
        <v>20685</v>
      </c>
      <c r="BJ40" s="79">
        <v>8190</v>
      </c>
      <c r="BK40" s="79">
        <v>9972</v>
      </c>
      <c r="BL40" s="79">
        <v>5787</v>
      </c>
      <c r="BM40" s="79">
        <v>6968</v>
      </c>
      <c r="BN40" s="79">
        <v>5743</v>
      </c>
      <c r="BO40" s="79">
        <v>8730</v>
      </c>
      <c r="BP40" s="79">
        <v>6068</v>
      </c>
      <c r="BQ40" s="79">
        <v>6968</v>
      </c>
      <c r="BR40" s="79">
        <v>18055</v>
      </c>
      <c r="BS40" s="79">
        <v>1950</v>
      </c>
      <c r="BT40" s="79">
        <v>5200</v>
      </c>
      <c r="BU40" s="79">
        <v>5253</v>
      </c>
      <c r="BV40" s="79">
        <v>2292</v>
      </c>
      <c r="BW40" s="79">
        <v>6764</v>
      </c>
      <c r="BX40" s="79">
        <v>13816</v>
      </c>
      <c r="BY40" s="79">
        <v>2774</v>
      </c>
      <c r="BZ40" s="79">
        <v>12370</v>
      </c>
      <c r="CA40" s="79">
        <v>4083</v>
      </c>
      <c r="CB40" s="79">
        <v>38401</v>
      </c>
      <c r="CC40" s="79">
        <v>8060</v>
      </c>
      <c r="CD40" s="79">
        <v>4240</v>
      </c>
      <c r="CE40" s="79">
        <v>12980</v>
      </c>
      <c r="CF40" s="79">
        <v>4082</v>
      </c>
      <c r="CG40" s="79">
        <v>7482</v>
      </c>
      <c r="CH40" s="79">
        <v>87586</v>
      </c>
      <c r="CI40" s="79">
        <v>8090</v>
      </c>
      <c r="CJ40" s="79">
        <v>4148</v>
      </c>
      <c r="CK40" s="79">
        <v>2755</v>
      </c>
      <c r="CL40" s="79">
        <v>3347</v>
      </c>
      <c r="CM40" s="79">
        <v>7383</v>
      </c>
      <c r="CN40" s="79"/>
      <c r="CO40" s="79"/>
      <c r="CP40" s="79"/>
      <c r="CQ40" s="79"/>
      <c r="CR40" s="81" t="str">
        <f t="shared" si="19"/>
        <v>х</v>
      </c>
      <c r="CS40" s="79"/>
      <c r="CT40" s="79"/>
      <c r="CU40" s="79"/>
      <c r="CV40" s="79"/>
      <c r="CW40" s="79"/>
      <c r="CX40" s="79"/>
      <c r="CY40" s="79"/>
      <c r="CZ40" s="79"/>
      <c r="DA40" s="79"/>
      <c r="DB40" s="79"/>
      <c r="DC40" s="79"/>
      <c r="DD40" s="79"/>
      <c r="DE40" s="79"/>
      <c r="DF40" s="79"/>
      <c r="DG40" s="79"/>
      <c r="DH40" s="79"/>
      <c r="DI40" s="79"/>
      <c r="DJ40" s="79"/>
      <c r="DK40" s="79"/>
      <c r="DL40" s="79"/>
      <c r="DM40" s="79"/>
      <c r="DN40" s="79"/>
      <c r="DO40" s="79"/>
      <c r="DP40" s="79"/>
      <c r="DQ40" s="79"/>
      <c r="DR40" s="79"/>
      <c r="DS40" s="79"/>
      <c r="DT40" s="79"/>
      <c r="DU40" s="79"/>
      <c r="DV40" s="79"/>
      <c r="DW40" s="79"/>
      <c r="DX40" s="79"/>
      <c r="DY40" s="85" t="s">
        <v>239</v>
      </c>
      <c r="DZ40" s="85" t="s">
        <v>239</v>
      </c>
    </row>
    <row r="41" spans="1:130" ht="25.5">
      <c r="A41" s="31" t="s">
        <v>191</v>
      </c>
      <c r="B41" s="32" t="s">
        <v>192</v>
      </c>
      <c r="C41" s="78">
        <v>11.2</v>
      </c>
      <c r="D41" s="66">
        <f t="shared" si="14"/>
        <v>7</v>
      </c>
      <c r="E41" s="55">
        <f t="shared" si="20"/>
        <v>35.3</v>
      </c>
      <c r="F41" s="74" t="str">
        <f>HLOOKUP(E41,$R41:$AA$59,19,FALSE)</f>
        <v>Жигулёвск</v>
      </c>
      <c r="G41" s="78">
        <v>11.5</v>
      </c>
      <c r="H41" s="66">
        <f t="shared" si="15"/>
        <v>7</v>
      </c>
      <c r="I41" s="55">
        <f t="shared" si="21"/>
        <v>33.1</v>
      </c>
      <c r="J41" s="74" t="str">
        <f>HLOOKUP(I41,$BC41:$CM$59,19,FALSE)</f>
        <v>Жигулёвск</v>
      </c>
      <c r="K41" s="81">
        <f t="shared" si="16"/>
        <v>2.68</v>
      </c>
      <c r="L41" s="45" t="s">
        <v>239</v>
      </c>
      <c r="M41" s="86" t="s">
        <v>239</v>
      </c>
      <c r="N41" s="83" t="s">
        <v>239</v>
      </c>
      <c r="O41" s="84" t="s">
        <v>239</v>
      </c>
      <c r="P41" s="84" t="s">
        <v>239</v>
      </c>
      <c r="Q41" s="33"/>
      <c r="R41" s="79">
        <v>2.9</v>
      </c>
      <c r="S41" s="79">
        <v>1.4</v>
      </c>
      <c r="T41" s="79">
        <v>12.4</v>
      </c>
      <c r="U41" s="79">
        <v>8.8</v>
      </c>
      <c r="V41" s="81">
        <f t="shared" si="17"/>
        <v>11.2</v>
      </c>
      <c r="W41" s="79">
        <v>14.2</v>
      </c>
      <c r="X41" s="79">
        <v>35.3</v>
      </c>
      <c r="Y41" s="79">
        <v>34.5</v>
      </c>
      <c r="Z41" s="79">
        <v>21.3</v>
      </c>
      <c r="AA41" s="79">
        <v>19.9</v>
      </c>
      <c r="AB41" s="79">
        <v>57.6</v>
      </c>
      <c r="AC41" s="79">
        <v>8.8</v>
      </c>
      <c r="AD41" s="79">
        <v>48.6</v>
      </c>
      <c r="AE41" s="79">
        <v>11.9</v>
      </c>
      <c r="AF41" s="79">
        <v>31.8</v>
      </c>
      <c r="AG41" s="79">
        <v>47.7</v>
      </c>
      <c r="AH41" s="79">
        <v>4.1</v>
      </c>
      <c r="AI41" s="79">
        <v>30</v>
      </c>
      <c r="AJ41" s="79">
        <v>30.6</v>
      </c>
      <c r="AK41" s="79">
        <v>11.7</v>
      </c>
      <c r="AL41" s="79">
        <v>9.9</v>
      </c>
      <c r="AM41" s="79">
        <v>22.4</v>
      </c>
      <c r="AN41" s="79">
        <v>13.5</v>
      </c>
      <c r="AO41" s="79">
        <v>14.7</v>
      </c>
      <c r="AP41" s="79">
        <v>21.3</v>
      </c>
      <c r="AQ41" s="79">
        <v>59.4</v>
      </c>
      <c r="AR41" s="79">
        <v>55.5</v>
      </c>
      <c r="AS41" s="79">
        <v>16.6</v>
      </c>
      <c r="AT41" s="79">
        <v>37.9</v>
      </c>
      <c r="AU41" s="79">
        <v>13</v>
      </c>
      <c r="AV41" s="79">
        <v>19.7</v>
      </c>
      <c r="AW41" s="79">
        <v>162.4</v>
      </c>
      <c r="AX41" s="79">
        <v>29.8</v>
      </c>
      <c r="AY41" s="79">
        <v>21</v>
      </c>
      <c r="AZ41" s="79">
        <v>14.4</v>
      </c>
      <c r="BA41" s="79">
        <v>14.5</v>
      </c>
      <c r="BB41" s="79">
        <v>32.7</v>
      </c>
      <c r="BC41" s="79">
        <v>2.9</v>
      </c>
      <c r="BD41" s="79">
        <v>1.9</v>
      </c>
      <c r="BE41" s="79">
        <v>12.2</v>
      </c>
      <c r="BF41" s="79">
        <v>10</v>
      </c>
      <c r="BG41" s="81">
        <f t="shared" si="18"/>
        <v>11.5</v>
      </c>
      <c r="BH41" s="79">
        <v>16.2</v>
      </c>
      <c r="BI41" s="79">
        <v>33.1</v>
      </c>
      <c r="BJ41" s="79">
        <v>29.5</v>
      </c>
      <c r="BK41" s="79">
        <v>19.6</v>
      </c>
      <c r="BL41" s="79">
        <v>19.9</v>
      </c>
      <c r="BM41" s="79">
        <v>57</v>
      </c>
      <c r="BN41" s="79">
        <v>14.2</v>
      </c>
      <c r="BO41" s="79">
        <v>55.9</v>
      </c>
      <c r="BP41" s="79">
        <v>29.5</v>
      </c>
      <c r="BQ41" s="79">
        <v>37.7</v>
      </c>
      <c r="BR41" s="79">
        <v>73.1</v>
      </c>
      <c r="BS41" s="79">
        <v>2.4</v>
      </c>
      <c r="BT41" s="79">
        <v>52.2</v>
      </c>
      <c r="BU41" s="79">
        <v>37.4</v>
      </c>
      <c r="BV41" s="79">
        <v>19.9</v>
      </c>
      <c r="BW41" s="79">
        <v>22.9</v>
      </c>
      <c r="BX41" s="79">
        <v>28.8</v>
      </c>
      <c r="BY41" s="79">
        <v>18.4</v>
      </c>
      <c r="BZ41" s="79">
        <v>47.9</v>
      </c>
      <c r="CA41" s="79">
        <v>22.3</v>
      </c>
      <c r="CB41" s="79">
        <v>74</v>
      </c>
      <c r="CC41" s="79">
        <v>25.5</v>
      </c>
      <c r="CD41" s="79">
        <v>24.3</v>
      </c>
      <c r="CE41" s="79">
        <v>46.2</v>
      </c>
      <c r="CF41" s="79">
        <v>17.1</v>
      </c>
      <c r="CG41" s="79">
        <v>16.6</v>
      </c>
      <c r="CH41" s="79">
        <v>169</v>
      </c>
      <c r="CI41" s="79">
        <v>31.5</v>
      </c>
      <c r="CJ41" s="79">
        <v>27.9</v>
      </c>
      <c r="CK41" s="79">
        <v>15.8</v>
      </c>
      <c r="CL41" s="79">
        <v>19.3</v>
      </c>
      <c r="CM41" s="79">
        <v>34.9</v>
      </c>
      <c r="CN41" s="79"/>
      <c r="CO41" s="79"/>
      <c r="CP41" s="79"/>
      <c r="CQ41" s="79"/>
      <c r="CR41" s="81" t="str">
        <f t="shared" si="19"/>
        <v>х</v>
      </c>
      <c r="CS41" s="79"/>
      <c r="CT41" s="79"/>
      <c r="CU41" s="79"/>
      <c r="CV41" s="79"/>
      <c r="CW41" s="79"/>
      <c r="CX41" s="79"/>
      <c r="CY41" s="79"/>
      <c r="CZ41" s="79"/>
      <c r="DA41" s="79"/>
      <c r="DB41" s="79"/>
      <c r="DC41" s="79"/>
      <c r="DD41" s="79"/>
      <c r="DE41" s="79"/>
      <c r="DF41" s="79"/>
      <c r="DG41" s="79"/>
      <c r="DH41" s="79"/>
      <c r="DI41" s="79"/>
      <c r="DJ41" s="79"/>
      <c r="DK41" s="79"/>
      <c r="DL41" s="79"/>
      <c r="DM41" s="79"/>
      <c r="DN41" s="79"/>
      <c r="DO41" s="79"/>
      <c r="DP41" s="79"/>
      <c r="DQ41" s="79"/>
      <c r="DR41" s="79"/>
      <c r="DS41" s="79"/>
      <c r="DT41" s="79"/>
      <c r="DU41" s="79"/>
      <c r="DV41" s="79"/>
      <c r="DW41" s="79"/>
      <c r="DX41" s="79"/>
      <c r="DY41" s="85" t="s">
        <v>239</v>
      </c>
      <c r="DZ41" s="85" t="s">
        <v>239</v>
      </c>
    </row>
    <row r="42" spans="1:130" ht="25.5" hidden="1">
      <c r="A42" s="31" t="s">
        <v>193</v>
      </c>
      <c r="B42" s="32" t="s">
        <v>194</v>
      </c>
      <c r="C42" s="78"/>
      <c r="D42" s="66">
        <f>IF(LEFT($M$2,2)&lt;"10",RANK(C42,R42:AA42),RANK(C42,AB42:BB42))</f>
        <v>1</v>
      </c>
      <c r="E42" s="55">
        <f t="shared" si="20"/>
        <v>0</v>
      </c>
      <c r="F42" s="74" t="str">
        <f>HLOOKUP(E42,$R42:$AA$59,18,FALSE)</f>
        <v>Чапаевск</v>
      </c>
      <c r="G42" s="78"/>
      <c r="H42" s="66">
        <f>IF(LEFT($M$2,2)&lt;"10",RANK(G42,BC42:BL42),RANK(G42,BM42:CM42))</f>
        <v>1</v>
      </c>
      <c r="I42" s="55">
        <f t="shared" si="21"/>
        <v>0</v>
      </c>
      <c r="J42" s="74" t="str">
        <f>HLOOKUP(I42,$BC42:$CM$59,18,FALSE)</f>
        <v>Чапаевск</v>
      </c>
      <c r="K42" s="81" t="e">
        <f t="shared" si="16"/>
        <v>#DIV/0!</v>
      </c>
      <c r="L42" s="45" t="s">
        <v>239</v>
      </c>
      <c r="M42" s="86" t="s">
        <v>239</v>
      </c>
      <c r="N42" s="83" t="s">
        <v>239</v>
      </c>
      <c r="O42" s="84" t="s">
        <v>239</v>
      </c>
      <c r="P42" s="84" t="s">
        <v>239</v>
      </c>
      <c r="Q42" s="33"/>
      <c r="R42" s="79"/>
      <c r="S42" s="79"/>
      <c r="T42" s="79"/>
      <c r="U42" s="79"/>
      <c r="V42" s="81">
        <f t="shared" si="17"/>
        <v>0</v>
      </c>
      <c r="W42" s="79"/>
      <c r="X42" s="79"/>
      <c r="Y42" s="79"/>
      <c r="Z42" s="79"/>
      <c r="AA42" s="79"/>
      <c r="AB42" s="79"/>
      <c r="AC42" s="79"/>
      <c r="AD42" s="79"/>
      <c r="AE42" s="79"/>
      <c r="AF42" s="79"/>
      <c r="AG42" s="79"/>
      <c r="AH42" s="79"/>
      <c r="AI42" s="79"/>
      <c r="AJ42" s="79"/>
      <c r="AK42" s="79"/>
      <c r="AL42" s="79"/>
      <c r="AM42" s="79"/>
      <c r="AN42" s="79"/>
      <c r="AO42" s="79"/>
      <c r="AP42" s="79"/>
      <c r="AQ42" s="79"/>
      <c r="AR42" s="79"/>
      <c r="AS42" s="79"/>
      <c r="AT42" s="79"/>
      <c r="AU42" s="79"/>
      <c r="AV42" s="79"/>
      <c r="AW42" s="79"/>
      <c r="AX42" s="79"/>
      <c r="AY42" s="79"/>
      <c r="AZ42" s="79"/>
      <c r="BA42" s="79"/>
      <c r="BB42" s="79"/>
      <c r="BC42" s="79"/>
      <c r="BD42" s="79"/>
      <c r="BE42" s="79"/>
      <c r="BF42" s="79"/>
      <c r="BG42" s="81">
        <f t="shared" si="18"/>
        <v>0</v>
      </c>
      <c r="BH42" s="79"/>
      <c r="BI42" s="79"/>
      <c r="BJ42" s="79"/>
      <c r="BK42" s="79"/>
      <c r="BL42" s="79"/>
      <c r="BM42" s="79"/>
      <c r="BN42" s="79"/>
      <c r="BO42" s="79"/>
      <c r="BP42" s="79"/>
      <c r="BQ42" s="79"/>
      <c r="BR42" s="79"/>
      <c r="BS42" s="79"/>
      <c r="BT42" s="79"/>
      <c r="BU42" s="79"/>
      <c r="BV42" s="79"/>
      <c r="BW42" s="79"/>
      <c r="BX42" s="79"/>
      <c r="BY42" s="79"/>
      <c r="BZ42" s="79"/>
      <c r="CA42" s="79"/>
      <c r="CB42" s="79"/>
      <c r="CC42" s="79"/>
      <c r="CD42" s="79"/>
      <c r="CE42" s="79"/>
      <c r="CF42" s="79"/>
      <c r="CG42" s="79"/>
      <c r="CH42" s="79"/>
      <c r="CI42" s="79"/>
      <c r="CJ42" s="79"/>
      <c r="CK42" s="79"/>
      <c r="CL42" s="79"/>
      <c r="CM42" s="79"/>
      <c r="CN42" s="79"/>
      <c r="CO42" s="79"/>
      <c r="CP42" s="79"/>
      <c r="CQ42" s="79"/>
      <c r="CR42" s="81" t="str">
        <f t="shared" si="19"/>
        <v>х</v>
      </c>
      <c r="CS42" s="79"/>
      <c r="CT42" s="79"/>
      <c r="CU42" s="79"/>
      <c r="CV42" s="79"/>
      <c r="CW42" s="79"/>
      <c r="CX42" s="79"/>
      <c r="CY42" s="79"/>
      <c r="CZ42" s="79"/>
      <c r="DA42" s="79"/>
      <c r="DB42" s="79"/>
      <c r="DC42" s="79"/>
      <c r="DD42" s="79"/>
      <c r="DE42" s="79"/>
      <c r="DF42" s="79"/>
      <c r="DG42" s="79"/>
      <c r="DH42" s="79"/>
      <c r="DI42" s="79"/>
      <c r="DJ42" s="79"/>
      <c r="DK42" s="79"/>
      <c r="DL42" s="79"/>
      <c r="DM42" s="79"/>
      <c r="DN42" s="79"/>
      <c r="DO42" s="79"/>
      <c r="DP42" s="79"/>
      <c r="DQ42" s="79"/>
      <c r="DR42" s="79"/>
      <c r="DS42" s="79"/>
      <c r="DT42" s="79"/>
      <c r="DU42" s="79"/>
      <c r="DV42" s="79"/>
      <c r="DW42" s="79"/>
      <c r="DX42" s="79"/>
      <c r="DY42" s="85" t="s">
        <v>239</v>
      </c>
      <c r="DZ42" s="85" t="s">
        <v>239</v>
      </c>
    </row>
    <row r="43" spans="1:130" ht="25.5" hidden="1">
      <c r="A43" s="31" t="s">
        <v>195</v>
      </c>
      <c r="B43" s="32" t="s">
        <v>196</v>
      </c>
      <c r="C43" s="78"/>
      <c r="D43" s="66">
        <f>IF(LEFT($M$2,2)&lt;"10",RANK(C43,R43:AA43),RANK(C43,AB43:BB43))</f>
        <v>1</v>
      </c>
      <c r="E43" s="55">
        <f t="shared" si="20"/>
        <v>0</v>
      </c>
      <c r="F43" s="74" t="str">
        <f>HLOOKUP(E43,$R43:$AA$59,17,FALSE)</f>
        <v>Чапаевск</v>
      </c>
      <c r="G43" s="78"/>
      <c r="H43" s="66">
        <f>IF(LEFT($M$2,2)&lt;"10",RANK(G43,BC43:BL43),RANK(G43,BM43:CM43))</f>
        <v>1</v>
      </c>
      <c r="I43" s="55">
        <f t="shared" si="21"/>
        <v>0</v>
      </c>
      <c r="J43" s="74" t="str">
        <f>HLOOKUP(I43,$BC43:$CM$59,17,FALSE)</f>
        <v>Чапаевск</v>
      </c>
      <c r="K43" s="81" t="e">
        <f t="shared" si="16"/>
        <v>#DIV/0!</v>
      </c>
      <c r="L43" s="45" t="s">
        <v>239</v>
      </c>
      <c r="M43" s="86" t="s">
        <v>239</v>
      </c>
      <c r="N43" s="83" t="s">
        <v>239</v>
      </c>
      <c r="O43" s="84" t="s">
        <v>239</v>
      </c>
      <c r="P43" s="84" t="s">
        <v>239</v>
      </c>
      <c r="Q43" s="33"/>
      <c r="R43" s="79"/>
      <c r="S43" s="79"/>
      <c r="T43" s="79"/>
      <c r="U43" s="79"/>
      <c r="V43" s="81">
        <f t="shared" si="17"/>
        <v>0</v>
      </c>
      <c r="W43" s="79"/>
      <c r="X43" s="79"/>
      <c r="Y43" s="79"/>
      <c r="Z43" s="79"/>
      <c r="AA43" s="79"/>
      <c r="AB43" s="79"/>
      <c r="AC43" s="79"/>
      <c r="AD43" s="79"/>
      <c r="AE43" s="79"/>
      <c r="AF43" s="79"/>
      <c r="AG43" s="79"/>
      <c r="AH43" s="79"/>
      <c r="AI43" s="79"/>
      <c r="AJ43" s="79"/>
      <c r="AK43" s="79"/>
      <c r="AL43" s="79"/>
      <c r="AM43" s="79"/>
      <c r="AN43" s="79"/>
      <c r="AO43" s="79"/>
      <c r="AP43" s="79"/>
      <c r="AQ43" s="79"/>
      <c r="AR43" s="79"/>
      <c r="AS43" s="79"/>
      <c r="AT43" s="79"/>
      <c r="AU43" s="79"/>
      <c r="AV43" s="79"/>
      <c r="AW43" s="79"/>
      <c r="AX43" s="79"/>
      <c r="AY43" s="79"/>
      <c r="AZ43" s="79"/>
      <c r="BA43" s="79"/>
      <c r="BB43" s="79"/>
      <c r="BC43" s="79"/>
      <c r="BD43" s="79"/>
      <c r="BE43" s="79"/>
      <c r="BF43" s="79"/>
      <c r="BG43" s="81">
        <f t="shared" si="18"/>
        <v>0</v>
      </c>
      <c r="BH43" s="79"/>
      <c r="BI43" s="79"/>
      <c r="BJ43" s="79"/>
      <c r="BK43" s="79"/>
      <c r="BL43" s="79"/>
      <c r="BM43" s="79"/>
      <c r="BN43" s="79"/>
      <c r="BO43" s="79"/>
      <c r="BP43" s="79"/>
      <c r="BQ43" s="79"/>
      <c r="BR43" s="79"/>
      <c r="BS43" s="79"/>
      <c r="BT43" s="79"/>
      <c r="BU43" s="79"/>
      <c r="BV43" s="79"/>
      <c r="BW43" s="79"/>
      <c r="BX43" s="79"/>
      <c r="BY43" s="79"/>
      <c r="BZ43" s="79"/>
      <c r="CA43" s="79"/>
      <c r="CB43" s="79"/>
      <c r="CC43" s="79"/>
      <c r="CD43" s="79"/>
      <c r="CE43" s="79"/>
      <c r="CF43" s="79"/>
      <c r="CG43" s="79"/>
      <c r="CH43" s="79"/>
      <c r="CI43" s="79"/>
      <c r="CJ43" s="79"/>
      <c r="CK43" s="79"/>
      <c r="CL43" s="79"/>
      <c r="CM43" s="79"/>
      <c r="CN43" s="79"/>
      <c r="CO43" s="79"/>
      <c r="CP43" s="79"/>
      <c r="CQ43" s="79"/>
      <c r="CR43" s="81" t="str">
        <f t="shared" si="19"/>
        <v>х</v>
      </c>
      <c r="CS43" s="79"/>
      <c r="CT43" s="79"/>
      <c r="CU43" s="79"/>
      <c r="CV43" s="79"/>
      <c r="CW43" s="79"/>
      <c r="CX43" s="79"/>
      <c r="CY43" s="79"/>
      <c r="CZ43" s="79"/>
      <c r="DA43" s="79"/>
      <c r="DB43" s="79"/>
      <c r="DC43" s="79"/>
      <c r="DD43" s="79"/>
      <c r="DE43" s="79"/>
      <c r="DF43" s="79"/>
      <c r="DG43" s="79"/>
      <c r="DH43" s="79"/>
      <c r="DI43" s="79"/>
      <c r="DJ43" s="79"/>
      <c r="DK43" s="79"/>
      <c r="DL43" s="79"/>
      <c r="DM43" s="79"/>
      <c r="DN43" s="79"/>
      <c r="DO43" s="79"/>
      <c r="DP43" s="79"/>
      <c r="DQ43" s="79"/>
      <c r="DR43" s="79"/>
      <c r="DS43" s="79"/>
      <c r="DT43" s="79"/>
      <c r="DU43" s="79"/>
      <c r="DV43" s="79"/>
      <c r="DW43" s="79"/>
      <c r="DX43" s="79"/>
      <c r="DY43" s="85" t="s">
        <v>239</v>
      </c>
      <c r="DZ43" s="85" t="s">
        <v>239</v>
      </c>
    </row>
    <row r="44" spans="1:130" ht="12.75">
      <c r="A44" s="31" t="s">
        <v>146</v>
      </c>
      <c r="B44" s="32" t="s">
        <v>147</v>
      </c>
      <c r="C44" s="78">
        <v>1172</v>
      </c>
      <c r="D44" s="66">
        <f aca="true" t="shared" si="22" ref="D44:D52">IF(LEFT($M$2,2)&lt;"11",RANK(C44,R44:AA44),RANK(C44,AB44:BB44))</f>
        <v>6</v>
      </c>
      <c r="E44" s="55">
        <f t="shared" si="20"/>
        <v>19364</v>
      </c>
      <c r="F44" s="74" t="str">
        <f>HLOOKUP(E44,$R44:$AA$59,16,FALSE)</f>
        <v> Самара</v>
      </c>
      <c r="G44" s="78">
        <v>1202</v>
      </c>
      <c r="H44" s="66">
        <f aca="true" t="shared" si="23" ref="H44:H52">IF(LEFT($M$2,2)&lt;"11",RANK(G44,BC44:BL44),RANK(G44,BM44:CM44))</f>
        <v>6</v>
      </c>
      <c r="I44" s="55">
        <f t="shared" si="21"/>
        <v>20281</v>
      </c>
      <c r="J44" s="74" t="str">
        <f>HLOOKUP(I44,$BC44:$CM$59,16,FALSE)</f>
        <v>Самара</v>
      </c>
      <c r="K44" s="81">
        <f t="shared" si="16"/>
        <v>2.56</v>
      </c>
      <c r="L44" s="45" t="s">
        <v>239</v>
      </c>
      <c r="M44" s="86" t="s">
        <v>239</v>
      </c>
      <c r="N44" s="83" t="s">
        <v>239</v>
      </c>
      <c r="O44" s="84" t="s">
        <v>239</v>
      </c>
      <c r="P44" s="84" t="s">
        <v>239</v>
      </c>
      <c r="Q44" s="33"/>
      <c r="R44" s="79">
        <v>19364</v>
      </c>
      <c r="S44" s="79">
        <v>11443</v>
      </c>
      <c r="T44" s="79">
        <v>3930</v>
      </c>
      <c r="U44" s="79">
        <v>1670</v>
      </c>
      <c r="V44" s="81">
        <f t="shared" si="17"/>
        <v>1172</v>
      </c>
      <c r="W44" s="79">
        <v>943</v>
      </c>
      <c r="X44" s="79">
        <v>997</v>
      </c>
      <c r="Y44" s="79">
        <v>354</v>
      </c>
      <c r="Z44" s="79">
        <v>1237</v>
      </c>
      <c r="AA44" s="79">
        <v>654</v>
      </c>
      <c r="AB44" s="79">
        <v>155</v>
      </c>
      <c r="AC44" s="79">
        <v>669</v>
      </c>
      <c r="AD44" s="79">
        <v>254</v>
      </c>
      <c r="AE44" s="79">
        <v>303</v>
      </c>
      <c r="AF44" s="79">
        <v>273</v>
      </c>
      <c r="AG44" s="79">
        <v>422</v>
      </c>
      <c r="AH44" s="79">
        <v>769</v>
      </c>
      <c r="AI44" s="79">
        <v>88</v>
      </c>
      <c r="AJ44" s="79">
        <v>215</v>
      </c>
      <c r="AK44" s="79">
        <v>205</v>
      </c>
      <c r="AL44" s="79">
        <v>262</v>
      </c>
      <c r="AM44" s="79">
        <v>776</v>
      </c>
      <c r="AN44" s="79">
        <v>241</v>
      </c>
      <c r="AO44" s="79">
        <v>709</v>
      </c>
      <c r="AP44" s="79">
        <v>184</v>
      </c>
      <c r="AQ44" s="79">
        <v>721</v>
      </c>
      <c r="AR44" s="79">
        <v>118</v>
      </c>
      <c r="AS44" s="79">
        <v>210</v>
      </c>
      <c r="AT44" s="79">
        <v>216</v>
      </c>
      <c r="AU44" s="79">
        <v>337</v>
      </c>
      <c r="AV44" s="79">
        <v>831</v>
      </c>
      <c r="AW44" s="79">
        <v>521</v>
      </c>
      <c r="AX44" s="79">
        <v>348</v>
      </c>
      <c r="AY44" s="79">
        <v>133</v>
      </c>
      <c r="AZ44" s="79">
        <v>221</v>
      </c>
      <c r="BA44" s="79">
        <v>289</v>
      </c>
      <c r="BB44" s="79">
        <v>302</v>
      </c>
      <c r="BC44" s="79">
        <v>20281</v>
      </c>
      <c r="BD44" s="79">
        <v>12257</v>
      </c>
      <c r="BE44" s="79">
        <v>3821</v>
      </c>
      <c r="BF44" s="79">
        <v>1767</v>
      </c>
      <c r="BG44" s="81">
        <f t="shared" si="18"/>
        <v>1202</v>
      </c>
      <c r="BH44" s="79">
        <v>1006</v>
      </c>
      <c r="BI44" s="79">
        <v>1057</v>
      </c>
      <c r="BJ44" s="79">
        <v>375</v>
      </c>
      <c r="BK44" s="79">
        <v>1422</v>
      </c>
      <c r="BL44" s="79">
        <v>627</v>
      </c>
      <c r="BM44" s="79">
        <v>172</v>
      </c>
      <c r="BN44" s="79">
        <v>657</v>
      </c>
      <c r="BO44" s="79">
        <v>305</v>
      </c>
      <c r="BP44" s="79">
        <v>299</v>
      </c>
      <c r="BQ44" s="79">
        <v>276</v>
      </c>
      <c r="BR44" s="79">
        <v>467</v>
      </c>
      <c r="BS44" s="79">
        <v>992</v>
      </c>
      <c r="BT44" s="79">
        <v>93</v>
      </c>
      <c r="BU44" s="79">
        <v>234</v>
      </c>
      <c r="BV44" s="79">
        <v>213</v>
      </c>
      <c r="BW44" s="79">
        <v>285</v>
      </c>
      <c r="BX44" s="79">
        <v>881</v>
      </c>
      <c r="BY44" s="79">
        <v>264</v>
      </c>
      <c r="BZ44" s="79">
        <v>772</v>
      </c>
      <c r="CA44" s="79">
        <v>195</v>
      </c>
      <c r="CB44" s="79">
        <v>801</v>
      </c>
      <c r="CC44" s="79">
        <v>138</v>
      </c>
      <c r="CD44" s="79">
        <v>211</v>
      </c>
      <c r="CE44" s="79">
        <v>188</v>
      </c>
      <c r="CF44" s="79">
        <v>370</v>
      </c>
      <c r="CG44" s="79">
        <v>842</v>
      </c>
      <c r="CH44" s="79">
        <v>568</v>
      </c>
      <c r="CI44" s="79">
        <v>320</v>
      </c>
      <c r="CJ44" s="79">
        <v>165</v>
      </c>
      <c r="CK44" s="79">
        <v>246</v>
      </c>
      <c r="CL44" s="79">
        <v>288</v>
      </c>
      <c r="CM44" s="79">
        <v>276</v>
      </c>
      <c r="CN44" s="79">
        <v>20281</v>
      </c>
      <c r="CO44" s="79">
        <v>12257</v>
      </c>
      <c r="CP44" s="79">
        <v>3821</v>
      </c>
      <c r="CQ44" s="79">
        <v>1767</v>
      </c>
      <c r="CR44" s="81" t="str">
        <f t="shared" si="19"/>
        <v>х</v>
      </c>
      <c r="CS44" s="79">
        <v>1006</v>
      </c>
      <c r="CT44" s="79">
        <v>1057</v>
      </c>
      <c r="CU44" s="79">
        <v>375</v>
      </c>
      <c r="CV44" s="79">
        <v>1422</v>
      </c>
      <c r="CW44" s="79">
        <v>627</v>
      </c>
      <c r="CX44" s="79">
        <v>172</v>
      </c>
      <c r="CY44" s="79">
        <v>657</v>
      </c>
      <c r="CZ44" s="79">
        <v>305</v>
      </c>
      <c r="DA44" s="79">
        <v>299</v>
      </c>
      <c r="DB44" s="79">
        <v>276</v>
      </c>
      <c r="DC44" s="79">
        <v>467</v>
      </c>
      <c r="DD44" s="79">
        <v>992</v>
      </c>
      <c r="DE44" s="79">
        <v>93</v>
      </c>
      <c r="DF44" s="79">
        <v>234</v>
      </c>
      <c r="DG44" s="79">
        <v>213</v>
      </c>
      <c r="DH44" s="79">
        <v>285</v>
      </c>
      <c r="DI44" s="79">
        <v>881</v>
      </c>
      <c r="DJ44" s="79">
        <v>264</v>
      </c>
      <c r="DK44" s="79">
        <v>772</v>
      </c>
      <c r="DL44" s="79">
        <v>195</v>
      </c>
      <c r="DM44" s="79">
        <v>801</v>
      </c>
      <c r="DN44" s="79">
        <v>138</v>
      </c>
      <c r="DO44" s="79">
        <v>211</v>
      </c>
      <c r="DP44" s="79">
        <v>188</v>
      </c>
      <c r="DQ44" s="79">
        <v>370</v>
      </c>
      <c r="DR44" s="79">
        <v>842</v>
      </c>
      <c r="DS44" s="79">
        <v>568</v>
      </c>
      <c r="DT44" s="79">
        <v>320</v>
      </c>
      <c r="DU44" s="79">
        <v>165</v>
      </c>
      <c r="DV44" s="79">
        <v>246</v>
      </c>
      <c r="DW44" s="79">
        <v>288</v>
      </c>
      <c r="DX44" s="79">
        <v>276</v>
      </c>
      <c r="DY44" s="85" t="s">
        <v>239</v>
      </c>
      <c r="DZ44" s="85" t="s">
        <v>239</v>
      </c>
    </row>
    <row r="45" spans="1:130" ht="25.5">
      <c r="A45" s="31" t="s">
        <v>201</v>
      </c>
      <c r="B45" s="32" t="s">
        <v>377</v>
      </c>
      <c r="C45" s="78">
        <v>8.7</v>
      </c>
      <c r="D45" s="66">
        <f t="shared" si="22"/>
        <v>9</v>
      </c>
      <c r="E45" s="55">
        <f t="shared" si="20"/>
        <v>14.2</v>
      </c>
      <c r="F45" s="74" t="str">
        <f>HLOOKUP(E45,$R45:$AA$59,15,FALSE)</f>
        <v> Самара</v>
      </c>
      <c r="G45" s="78">
        <v>11.7</v>
      </c>
      <c r="H45" s="66">
        <f t="shared" si="23"/>
        <v>9</v>
      </c>
      <c r="I45" s="55">
        <f t="shared" si="21"/>
        <v>16.7</v>
      </c>
      <c r="J45" s="74" t="str">
        <f>HLOOKUP(I45,$BC45:$CM$59,15,FALSE)</f>
        <v>Самара</v>
      </c>
      <c r="K45" s="81">
        <f t="shared" si="16"/>
        <v>34.48</v>
      </c>
      <c r="L45" s="45" t="s">
        <v>239</v>
      </c>
      <c r="M45" s="86" t="s">
        <v>239</v>
      </c>
      <c r="N45" s="83" t="s">
        <v>239</v>
      </c>
      <c r="O45" s="84" t="s">
        <v>239</v>
      </c>
      <c r="P45" s="84" t="s">
        <v>239</v>
      </c>
      <c r="Q45" s="33"/>
      <c r="R45" s="79">
        <v>14.2</v>
      </c>
      <c r="S45" s="79">
        <v>14.2</v>
      </c>
      <c r="T45" s="79">
        <v>9.9</v>
      </c>
      <c r="U45" s="79">
        <v>13.7</v>
      </c>
      <c r="V45" s="81">
        <f t="shared" si="17"/>
        <v>8.7</v>
      </c>
      <c r="W45" s="79">
        <v>13.6</v>
      </c>
      <c r="X45" s="79">
        <v>10.2</v>
      </c>
      <c r="Y45" s="79">
        <v>8.7</v>
      </c>
      <c r="Z45" s="79">
        <v>10.7</v>
      </c>
      <c r="AA45" s="79">
        <v>9.7</v>
      </c>
      <c r="AB45" s="79">
        <v>5.3</v>
      </c>
      <c r="AC45" s="79">
        <v>8.7</v>
      </c>
      <c r="AD45" s="79">
        <v>6.2</v>
      </c>
      <c r="AE45" s="79">
        <v>6.5</v>
      </c>
      <c r="AF45" s="79">
        <v>5.8</v>
      </c>
      <c r="AG45" s="79">
        <v>6.5</v>
      </c>
      <c r="AH45" s="79">
        <v>10.2</v>
      </c>
      <c r="AI45" s="79">
        <v>8</v>
      </c>
      <c r="AJ45" s="79">
        <v>5.8</v>
      </c>
      <c r="AK45" s="79">
        <v>6.1</v>
      </c>
      <c r="AL45" s="79">
        <v>10.2</v>
      </c>
      <c r="AM45" s="79">
        <v>7.1</v>
      </c>
      <c r="AN45" s="79">
        <v>6</v>
      </c>
      <c r="AO45" s="79">
        <v>6.2</v>
      </c>
      <c r="AP45" s="79">
        <v>6.4</v>
      </c>
      <c r="AQ45" s="79">
        <v>13.5</v>
      </c>
      <c r="AR45" s="79">
        <v>11.2</v>
      </c>
      <c r="AS45" s="79">
        <v>6.1</v>
      </c>
      <c r="AT45" s="79">
        <v>6.2</v>
      </c>
      <c r="AU45" s="79">
        <v>6.6</v>
      </c>
      <c r="AV45" s="79">
        <v>11.1</v>
      </c>
      <c r="AW45" s="79">
        <v>8.7</v>
      </c>
      <c r="AX45" s="79">
        <v>7.6</v>
      </c>
      <c r="AY45" s="79">
        <v>6.4</v>
      </c>
      <c r="AZ45" s="79">
        <v>5.7</v>
      </c>
      <c r="BA45" s="79">
        <v>5.6</v>
      </c>
      <c r="BB45" s="79">
        <v>6.3</v>
      </c>
      <c r="BC45" s="79">
        <v>16.7</v>
      </c>
      <c r="BD45" s="79">
        <v>16.6</v>
      </c>
      <c r="BE45" s="79">
        <v>11.4</v>
      </c>
      <c r="BF45" s="79">
        <v>16.6</v>
      </c>
      <c r="BG45" s="81">
        <f t="shared" si="18"/>
        <v>11.7</v>
      </c>
      <c r="BH45" s="79">
        <v>16.5</v>
      </c>
      <c r="BI45" s="79">
        <v>12.4</v>
      </c>
      <c r="BJ45" s="79">
        <v>12.3</v>
      </c>
      <c r="BK45" s="79">
        <v>13.2</v>
      </c>
      <c r="BL45" s="79">
        <v>12.2</v>
      </c>
      <c r="BM45" s="79">
        <v>7.7</v>
      </c>
      <c r="BN45" s="79">
        <v>11.4</v>
      </c>
      <c r="BO45" s="79">
        <v>9.8</v>
      </c>
      <c r="BP45" s="79">
        <v>10.1</v>
      </c>
      <c r="BQ45" s="79">
        <v>9.4</v>
      </c>
      <c r="BR45" s="79">
        <v>8.6</v>
      </c>
      <c r="BS45" s="79">
        <v>13.4</v>
      </c>
      <c r="BT45" s="79">
        <v>9.3</v>
      </c>
      <c r="BU45" s="79">
        <v>8.6</v>
      </c>
      <c r="BV45" s="79">
        <v>9.9</v>
      </c>
      <c r="BW45" s="79">
        <v>14</v>
      </c>
      <c r="BX45" s="79">
        <v>10.4</v>
      </c>
      <c r="BY45" s="79">
        <v>8.3</v>
      </c>
      <c r="BZ45" s="79">
        <v>9.6</v>
      </c>
      <c r="CA45" s="79">
        <v>9.5</v>
      </c>
      <c r="CB45" s="79">
        <v>11.7</v>
      </c>
      <c r="CC45" s="79">
        <v>13.4</v>
      </c>
      <c r="CD45" s="79">
        <v>9.6</v>
      </c>
      <c r="CE45" s="79">
        <v>8.7</v>
      </c>
      <c r="CF45" s="79">
        <v>9</v>
      </c>
      <c r="CG45" s="79">
        <v>13.4</v>
      </c>
      <c r="CH45" s="79">
        <v>11.1</v>
      </c>
      <c r="CI45" s="79">
        <v>9.4</v>
      </c>
      <c r="CJ45" s="79">
        <v>8.7</v>
      </c>
      <c r="CK45" s="79">
        <v>9.1</v>
      </c>
      <c r="CL45" s="79">
        <v>8.8</v>
      </c>
      <c r="CM45" s="79">
        <v>10.3</v>
      </c>
      <c r="CN45" s="79"/>
      <c r="CO45" s="79"/>
      <c r="CP45" s="79"/>
      <c r="CQ45" s="79"/>
      <c r="CR45" s="81" t="str">
        <f t="shared" si="19"/>
        <v>х</v>
      </c>
      <c r="CS45" s="79"/>
      <c r="CT45" s="79"/>
      <c r="CU45" s="79"/>
      <c r="CV45" s="79"/>
      <c r="CW45" s="79"/>
      <c r="CX45" s="79"/>
      <c r="CY45" s="79"/>
      <c r="CZ45" s="79"/>
      <c r="DA45" s="79"/>
      <c r="DB45" s="79"/>
      <c r="DC45" s="79"/>
      <c r="DD45" s="79"/>
      <c r="DE45" s="79"/>
      <c r="DF45" s="79"/>
      <c r="DG45" s="79"/>
      <c r="DH45" s="79"/>
      <c r="DI45" s="79"/>
      <c r="DJ45" s="79"/>
      <c r="DK45" s="79"/>
      <c r="DL45" s="79"/>
      <c r="DM45" s="79"/>
      <c r="DN45" s="79"/>
      <c r="DO45" s="79"/>
      <c r="DP45" s="79"/>
      <c r="DQ45" s="79"/>
      <c r="DR45" s="79"/>
      <c r="DS45" s="79"/>
      <c r="DT45" s="79"/>
      <c r="DU45" s="79"/>
      <c r="DV45" s="79"/>
      <c r="DW45" s="79"/>
      <c r="DX45" s="79"/>
      <c r="DY45" s="85" t="s">
        <v>239</v>
      </c>
      <c r="DZ45" s="85" t="s">
        <v>239</v>
      </c>
    </row>
    <row r="46" spans="1:130" ht="15" customHeight="1" hidden="1">
      <c r="A46" s="31" t="s">
        <v>202</v>
      </c>
      <c r="B46" s="32" t="s">
        <v>203</v>
      </c>
      <c r="C46" s="78">
        <v>5149.7</v>
      </c>
      <c r="D46" s="66">
        <f t="shared" si="22"/>
        <v>9</v>
      </c>
      <c r="E46" s="55">
        <f t="shared" si="20"/>
        <v>16572</v>
      </c>
      <c r="F46" s="74" t="str">
        <f>HLOOKUP(E46,$R46:$AA$59,14,FALSE)</f>
        <v>Тольятти</v>
      </c>
      <c r="G46" s="78"/>
      <c r="H46" s="66">
        <f t="shared" si="23"/>
        <v>1</v>
      </c>
      <c r="I46" s="55">
        <f t="shared" si="21"/>
        <v>0</v>
      </c>
      <c r="J46" s="74" t="str">
        <f>HLOOKUP(I46,$BC46:$CM$59,14,FALSE)</f>
        <v>Чапаевск</v>
      </c>
      <c r="K46" s="81">
        <f t="shared" si="16"/>
        <v>-100</v>
      </c>
      <c r="L46" s="45" t="s">
        <v>239</v>
      </c>
      <c r="M46" s="86" t="s">
        <v>239</v>
      </c>
      <c r="N46" s="83" t="s">
        <v>239</v>
      </c>
      <c r="O46" s="84" t="s">
        <v>239</v>
      </c>
      <c r="P46" s="84" t="s">
        <v>239</v>
      </c>
      <c r="Q46" s="33"/>
      <c r="R46" s="79">
        <v>14770.6</v>
      </c>
      <c r="S46" s="79">
        <v>16572</v>
      </c>
      <c r="T46" s="79">
        <v>8942.9</v>
      </c>
      <c r="U46" s="79">
        <v>9249.3</v>
      </c>
      <c r="V46" s="81">
        <f t="shared" si="17"/>
        <v>5149.7</v>
      </c>
      <c r="W46" s="79">
        <v>7909.2</v>
      </c>
      <c r="X46" s="79">
        <v>6013.5</v>
      </c>
      <c r="Y46" s="79">
        <v>5084</v>
      </c>
      <c r="Z46" s="79">
        <v>6773.6</v>
      </c>
      <c r="AA46" s="79">
        <v>6621</v>
      </c>
      <c r="AB46" s="79">
        <v>2479</v>
      </c>
      <c r="AC46" s="79">
        <v>4446.1</v>
      </c>
      <c r="AD46" s="79">
        <v>3519.9</v>
      </c>
      <c r="AE46" s="79">
        <v>2809.2</v>
      </c>
      <c r="AF46" s="79">
        <v>2451.3</v>
      </c>
      <c r="AG46" s="79">
        <v>2632</v>
      </c>
      <c r="AH46" s="79">
        <v>7426.5</v>
      </c>
      <c r="AI46" s="79">
        <v>2720.8</v>
      </c>
      <c r="AJ46" s="79">
        <v>2862.6</v>
      </c>
      <c r="AK46" s="79">
        <v>2008</v>
      </c>
      <c r="AL46" s="79">
        <v>3676.6</v>
      </c>
      <c r="AM46" s="79">
        <v>4007.4</v>
      </c>
      <c r="AN46" s="79">
        <v>2223.8</v>
      </c>
      <c r="AO46" s="79">
        <v>3322.3</v>
      </c>
      <c r="AP46" s="79">
        <v>3074.2</v>
      </c>
      <c r="AQ46" s="79">
        <v>4998.6</v>
      </c>
      <c r="AR46" s="79">
        <v>4295.5</v>
      </c>
      <c r="AS46" s="79">
        <v>2374.4</v>
      </c>
      <c r="AT46" s="79">
        <v>2696.3</v>
      </c>
      <c r="AU46" s="79">
        <v>2938.4</v>
      </c>
      <c r="AV46" s="79">
        <v>5590</v>
      </c>
      <c r="AW46" s="79">
        <v>6020.1</v>
      </c>
      <c r="AX46" s="79">
        <v>3206.2</v>
      </c>
      <c r="AY46" s="79">
        <v>2297.8</v>
      </c>
      <c r="AZ46" s="79">
        <v>3404.3</v>
      </c>
      <c r="BA46" s="79">
        <v>3469.5</v>
      </c>
      <c r="BB46" s="79">
        <v>2830.3</v>
      </c>
      <c r="BC46" s="79"/>
      <c r="BD46" s="79"/>
      <c r="BE46" s="79"/>
      <c r="BF46" s="79"/>
      <c r="BG46" s="81">
        <f t="shared" si="18"/>
        <v>0</v>
      </c>
      <c r="BH46" s="79"/>
      <c r="BI46" s="79"/>
      <c r="BJ46" s="79"/>
      <c r="BK46" s="79"/>
      <c r="BL46" s="79"/>
      <c r="BM46" s="79"/>
      <c r="BN46" s="79"/>
      <c r="BO46" s="79"/>
      <c r="BP46" s="79"/>
      <c r="BQ46" s="79"/>
      <c r="BR46" s="79"/>
      <c r="BS46" s="79"/>
      <c r="BT46" s="79"/>
      <c r="BU46" s="79"/>
      <c r="BV46" s="79"/>
      <c r="BW46" s="79"/>
      <c r="BX46" s="79"/>
      <c r="BY46" s="79"/>
      <c r="BZ46" s="79"/>
      <c r="CA46" s="79"/>
      <c r="CB46" s="79"/>
      <c r="CC46" s="79"/>
      <c r="CD46" s="79"/>
      <c r="CE46" s="79"/>
      <c r="CF46" s="79"/>
      <c r="CG46" s="79"/>
      <c r="CH46" s="79"/>
      <c r="CI46" s="79"/>
      <c r="CJ46" s="79"/>
      <c r="CK46" s="79"/>
      <c r="CL46" s="79"/>
      <c r="CM46" s="79"/>
      <c r="CN46" s="79"/>
      <c r="CO46" s="79"/>
      <c r="CP46" s="79"/>
      <c r="CQ46" s="79"/>
      <c r="CR46" s="81" t="str">
        <f t="shared" si="19"/>
        <v>х</v>
      </c>
      <c r="CS46" s="79"/>
      <c r="CT46" s="79"/>
      <c r="CU46" s="79"/>
      <c r="CV46" s="79"/>
      <c r="CW46" s="79"/>
      <c r="CX46" s="79"/>
      <c r="CY46" s="79"/>
      <c r="CZ46" s="79"/>
      <c r="DA46" s="79"/>
      <c r="DB46" s="79"/>
      <c r="DC46" s="79"/>
      <c r="DD46" s="79"/>
      <c r="DE46" s="79"/>
      <c r="DF46" s="79"/>
      <c r="DG46" s="79"/>
      <c r="DH46" s="79"/>
      <c r="DI46" s="79"/>
      <c r="DJ46" s="79"/>
      <c r="DK46" s="79"/>
      <c r="DL46" s="79"/>
      <c r="DM46" s="79"/>
      <c r="DN46" s="79"/>
      <c r="DO46" s="79"/>
      <c r="DP46" s="79"/>
      <c r="DQ46" s="79"/>
      <c r="DR46" s="79"/>
      <c r="DS46" s="79"/>
      <c r="DT46" s="79"/>
      <c r="DU46" s="79"/>
      <c r="DV46" s="79"/>
      <c r="DW46" s="79"/>
      <c r="DX46" s="79"/>
      <c r="DY46" s="85" t="s">
        <v>239</v>
      </c>
      <c r="DZ46" s="85" t="s">
        <v>239</v>
      </c>
    </row>
    <row r="47" spans="1:130" ht="25.5">
      <c r="A47" s="31" t="s">
        <v>204</v>
      </c>
      <c r="B47" s="32" t="s">
        <v>205</v>
      </c>
      <c r="C47" s="78">
        <v>21.5</v>
      </c>
      <c r="D47" s="66">
        <f t="shared" si="22"/>
        <v>4</v>
      </c>
      <c r="E47" s="55">
        <f t="shared" si="20"/>
        <v>24.8</v>
      </c>
      <c r="F47" s="74" t="str">
        <f>HLOOKUP(E47,$R47:$AA$59,13,FALSE)</f>
        <v>Новокуйбышевск</v>
      </c>
      <c r="G47" s="78">
        <v>25.7</v>
      </c>
      <c r="H47" s="66">
        <f t="shared" si="23"/>
        <v>4</v>
      </c>
      <c r="I47" s="55">
        <f t="shared" si="21"/>
        <v>28.7</v>
      </c>
      <c r="J47" s="74" t="str">
        <f>HLOOKUP(I47,$BC47:$CM$59,13,FALSE)</f>
        <v>Кинель</v>
      </c>
      <c r="K47" s="81">
        <f t="shared" si="16"/>
        <v>19.53</v>
      </c>
      <c r="L47" s="45" t="s">
        <v>239</v>
      </c>
      <c r="M47" s="86" t="s">
        <v>239</v>
      </c>
      <c r="N47" s="83" t="s">
        <v>239</v>
      </c>
      <c r="O47" s="84" t="s">
        <v>239</v>
      </c>
      <c r="P47" s="84" t="s">
        <v>239</v>
      </c>
      <c r="Q47" s="33"/>
      <c r="R47" s="79">
        <v>17.7</v>
      </c>
      <c r="S47" s="79">
        <v>21.2</v>
      </c>
      <c r="T47" s="79">
        <v>22.3</v>
      </c>
      <c r="U47" s="79">
        <v>24.8</v>
      </c>
      <c r="V47" s="81">
        <f t="shared" si="17"/>
        <v>21.5</v>
      </c>
      <c r="W47" s="79">
        <v>22</v>
      </c>
      <c r="X47" s="79">
        <v>15.9</v>
      </c>
      <c r="Y47" s="79">
        <v>16.4</v>
      </c>
      <c r="Z47" s="79">
        <v>20.4</v>
      </c>
      <c r="AA47" s="79">
        <v>14.8</v>
      </c>
      <c r="AB47" s="79">
        <v>10.2</v>
      </c>
      <c r="AC47" s="79">
        <v>15.6</v>
      </c>
      <c r="AD47" s="79">
        <v>11.6</v>
      </c>
      <c r="AE47" s="79">
        <v>14.2</v>
      </c>
      <c r="AF47" s="79">
        <v>16.1</v>
      </c>
      <c r="AG47" s="79">
        <v>12.2</v>
      </c>
      <c r="AH47" s="79">
        <v>18.9</v>
      </c>
      <c r="AI47" s="79">
        <v>11.3</v>
      </c>
      <c r="AJ47" s="79">
        <v>14.3</v>
      </c>
      <c r="AK47" s="79">
        <v>9</v>
      </c>
      <c r="AL47" s="79">
        <v>17.6</v>
      </c>
      <c r="AM47" s="79">
        <v>14.2</v>
      </c>
      <c r="AN47" s="79">
        <v>27</v>
      </c>
      <c r="AO47" s="79">
        <v>16.5</v>
      </c>
      <c r="AP47" s="79">
        <v>11.1</v>
      </c>
      <c r="AQ47" s="79">
        <v>17.5</v>
      </c>
      <c r="AR47" s="79">
        <v>15.1</v>
      </c>
      <c r="AS47" s="79">
        <v>17.2</v>
      </c>
      <c r="AT47" s="79">
        <v>9.2</v>
      </c>
      <c r="AU47" s="79">
        <v>9.5</v>
      </c>
      <c r="AV47" s="79">
        <v>14.2</v>
      </c>
      <c r="AW47" s="79">
        <v>16.1</v>
      </c>
      <c r="AX47" s="79">
        <v>16.5</v>
      </c>
      <c r="AY47" s="79">
        <v>9.7</v>
      </c>
      <c r="AZ47" s="79">
        <v>10.9</v>
      </c>
      <c r="BA47" s="79">
        <v>12.7</v>
      </c>
      <c r="BB47" s="79">
        <v>13.1</v>
      </c>
      <c r="BC47" s="79">
        <v>23</v>
      </c>
      <c r="BD47" s="79">
        <v>24.6</v>
      </c>
      <c r="BE47" s="79">
        <v>27.1</v>
      </c>
      <c r="BF47" s="79">
        <v>25.5</v>
      </c>
      <c r="BG47" s="81">
        <f t="shared" si="18"/>
        <v>25.7</v>
      </c>
      <c r="BH47" s="79">
        <v>28.4</v>
      </c>
      <c r="BI47" s="79">
        <v>19.2</v>
      </c>
      <c r="BJ47" s="79">
        <v>16.7</v>
      </c>
      <c r="BK47" s="79">
        <v>28.7</v>
      </c>
      <c r="BL47" s="79">
        <v>16.6</v>
      </c>
      <c r="BM47" s="79">
        <v>12.5</v>
      </c>
      <c r="BN47" s="79">
        <v>17.2</v>
      </c>
      <c r="BO47" s="79">
        <v>15.8</v>
      </c>
      <c r="BP47" s="79">
        <v>16.8</v>
      </c>
      <c r="BQ47" s="79">
        <v>18</v>
      </c>
      <c r="BR47" s="79">
        <v>15.4</v>
      </c>
      <c r="BS47" s="79">
        <v>25.8</v>
      </c>
      <c r="BT47" s="79">
        <v>13.7</v>
      </c>
      <c r="BU47" s="79">
        <v>20.3</v>
      </c>
      <c r="BV47" s="79">
        <v>14.1</v>
      </c>
      <c r="BW47" s="79">
        <v>23.3</v>
      </c>
      <c r="BX47" s="79">
        <v>16.4</v>
      </c>
      <c r="BY47" s="79">
        <v>34.5</v>
      </c>
      <c r="BZ47" s="79">
        <v>21.1</v>
      </c>
      <c r="CA47" s="79">
        <v>12.9</v>
      </c>
      <c r="CB47" s="79">
        <v>21</v>
      </c>
      <c r="CC47" s="79">
        <v>19.2</v>
      </c>
      <c r="CD47" s="79">
        <v>21.2</v>
      </c>
      <c r="CE47" s="79">
        <v>11.5</v>
      </c>
      <c r="CF47" s="79">
        <v>13.2</v>
      </c>
      <c r="CG47" s="79">
        <v>16.1</v>
      </c>
      <c r="CH47" s="79">
        <v>20.4</v>
      </c>
      <c r="CI47" s="79">
        <v>18.2</v>
      </c>
      <c r="CJ47" s="79">
        <v>12.7</v>
      </c>
      <c r="CK47" s="79">
        <v>12.9</v>
      </c>
      <c r="CL47" s="79">
        <v>15.4</v>
      </c>
      <c r="CM47" s="79">
        <v>16.4</v>
      </c>
      <c r="CN47" s="79"/>
      <c r="CO47" s="79"/>
      <c r="CP47" s="79"/>
      <c r="CQ47" s="79"/>
      <c r="CR47" s="81" t="str">
        <f t="shared" si="19"/>
        <v>х</v>
      </c>
      <c r="CS47" s="79"/>
      <c r="CT47" s="79"/>
      <c r="CU47" s="79"/>
      <c r="CV47" s="79"/>
      <c r="CW47" s="79"/>
      <c r="CX47" s="79"/>
      <c r="CY47" s="79"/>
      <c r="CZ47" s="79"/>
      <c r="DA47" s="79"/>
      <c r="DB47" s="79"/>
      <c r="DC47" s="79"/>
      <c r="DD47" s="79"/>
      <c r="DE47" s="79"/>
      <c r="DF47" s="79"/>
      <c r="DG47" s="79"/>
      <c r="DH47" s="79"/>
      <c r="DI47" s="79"/>
      <c r="DJ47" s="79"/>
      <c r="DK47" s="79"/>
      <c r="DL47" s="79"/>
      <c r="DM47" s="79"/>
      <c r="DN47" s="79"/>
      <c r="DO47" s="79"/>
      <c r="DP47" s="79"/>
      <c r="DQ47" s="79"/>
      <c r="DR47" s="79"/>
      <c r="DS47" s="79"/>
      <c r="DT47" s="79"/>
      <c r="DU47" s="79"/>
      <c r="DV47" s="79"/>
      <c r="DW47" s="79"/>
      <c r="DX47" s="79"/>
      <c r="DY47" s="85" t="s">
        <v>239</v>
      </c>
      <c r="DZ47" s="85" t="s">
        <v>239</v>
      </c>
    </row>
    <row r="48" spans="1:130" ht="26.25" customHeight="1">
      <c r="A48" s="31" t="s">
        <v>206</v>
      </c>
      <c r="B48" s="32" t="s">
        <v>207</v>
      </c>
      <c r="C48" s="78">
        <v>23.6</v>
      </c>
      <c r="D48" s="66">
        <f t="shared" si="22"/>
        <v>9</v>
      </c>
      <c r="E48" s="55">
        <f t="shared" si="20"/>
        <v>176.7</v>
      </c>
      <c r="F48" s="74" t="str">
        <f>HLOOKUP(E48,$R48:$AA$59,12,FALSE)</f>
        <v>Тольятти</v>
      </c>
      <c r="G48" s="78">
        <v>24.7</v>
      </c>
      <c r="H48" s="66">
        <f t="shared" si="23"/>
        <v>10</v>
      </c>
      <c r="I48" s="55">
        <f t="shared" si="21"/>
        <v>214.2</v>
      </c>
      <c r="J48" s="74" t="str">
        <f>HLOOKUP(I48,$BC48:$CM$59,12,FALSE)</f>
        <v>Тольятти</v>
      </c>
      <c r="K48" s="81">
        <f t="shared" si="16"/>
        <v>4.66</v>
      </c>
      <c r="L48" s="45" t="s">
        <v>239</v>
      </c>
      <c r="M48" s="86" t="s">
        <v>239</v>
      </c>
      <c r="N48" s="83" t="s">
        <v>239</v>
      </c>
      <c r="O48" s="84" t="s">
        <v>239</v>
      </c>
      <c r="P48" s="84" t="s">
        <v>239</v>
      </c>
      <c r="Q48" s="33"/>
      <c r="R48" s="79">
        <v>118.4</v>
      </c>
      <c r="S48" s="79">
        <v>176.7</v>
      </c>
      <c r="T48" s="79">
        <v>70.4</v>
      </c>
      <c r="U48" s="79">
        <v>40</v>
      </c>
      <c r="V48" s="81">
        <f t="shared" si="17"/>
        <v>23.6</v>
      </c>
      <c r="W48" s="79">
        <v>55.3</v>
      </c>
      <c r="X48" s="79">
        <v>23.5</v>
      </c>
      <c r="Y48" s="79">
        <v>26.3</v>
      </c>
      <c r="Z48" s="79">
        <v>45.3</v>
      </c>
      <c r="AA48" s="79">
        <v>44.6</v>
      </c>
      <c r="AB48" s="79">
        <v>12.8</v>
      </c>
      <c r="AC48" s="79">
        <v>16</v>
      </c>
      <c r="AD48" s="79">
        <v>15.1</v>
      </c>
      <c r="AE48" s="79">
        <v>15</v>
      </c>
      <c r="AF48" s="79">
        <v>13.5</v>
      </c>
      <c r="AG48" s="79">
        <v>12.9</v>
      </c>
      <c r="AH48" s="79">
        <v>101.7</v>
      </c>
      <c r="AI48" s="79">
        <v>38</v>
      </c>
      <c r="AJ48" s="79">
        <v>24.1</v>
      </c>
      <c r="AK48" s="79">
        <v>10.2</v>
      </c>
      <c r="AL48" s="79">
        <v>16.1</v>
      </c>
      <c r="AM48" s="79">
        <v>14.9</v>
      </c>
      <c r="AN48" s="79">
        <v>9.8</v>
      </c>
      <c r="AO48" s="79">
        <v>32.9</v>
      </c>
      <c r="AP48" s="79">
        <v>14.7</v>
      </c>
      <c r="AQ48" s="79">
        <v>25.9</v>
      </c>
      <c r="AR48" s="79">
        <v>19</v>
      </c>
      <c r="AS48" s="79">
        <v>10.2</v>
      </c>
      <c r="AT48" s="79">
        <v>12.9</v>
      </c>
      <c r="AU48" s="79">
        <v>20</v>
      </c>
      <c r="AV48" s="79">
        <v>22.7</v>
      </c>
      <c r="AW48" s="79">
        <v>84.7</v>
      </c>
      <c r="AX48" s="79">
        <v>23</v>
      </c>
      <c r="AY48" s="79">
        <v>10.8</v>
      </c>
      <c r="AZ48" s="79">
        <v>18.5</v>
      </c>
      <c r="BA48" s="79">
        <v>16.4</v>
      </c>
      <c r="BB48" s="79">
        <v>14.4</v>
      </c>
      <c r="BC48" s="79">
        <v>152.4</v>
      </c>
      <c r="BD48" s="79">
        <v>214.2</v>
      </c>
      <c r="BE48" s="79">
        <v>81.2</v>
      </c>
      <c r="BF48" s="79">
        <v>51.1</v>
      </c>
      <c r="BG48" s="81">
        <f t="shared" si="18"/>
        <v>24.7</v>
      </c>
      <c r="BH48" s="79">
        <v>70.3</v>
      </c>
      <c r="BI48" s="79">
        <v>26</v>
      </c>
      <c r="BJ48" s="79">
        <v>27.4</v>
      </c>
      <c r="BK48" s="79">
        <v>42.9</v>
      </c>
      <c r="BL48" s="79">
        <v>47.9</v>
      </c>
      <c r="BM48" s="79">
        <v>14.3</v>
      </c>
      <c r="BN48" s="79">
        <v>19.4</v>
      </c>
      <c r="BO48" s="79">
        <v>17.8</v>
      </c>
      <c r="BP48" s="79">
        <v>18.7</v>
      </c>
      <c r="BQ48" s="79">
        <v>16</v>
      </c>
      <c r="BR48" s="79">
        <v>14.6</v>
      </c>
      <c r="BS48" s="79">
        <v>131.6</v>
      </c>
      <c r="BT48" s="79">
        <v>46.8</v>
      </c>
      <c r="BU48" s="79">
        <v>27.9</v>
      </c>
      <c r="BV48" s="79">
        <v>10</v>
      </c>
      <c r="BW48" s="79">
        <v>25.7</v>
      </c>
      <c r="BX48" s="79">
        <v>17.4</v>
      </c>
      <c r="BY48" s="79">
        <v>12.8</v>
      </c>
      <c r="BZ48" s="79">
        <v>39.5</v>
      </c>
      <c r="CA48" s="79">
        <v>15.7</v>
      </c>
      <c r="CB48" s="79">
        <v>29</v>
      </c>
      <c r="CC48" s="79">
        <v>20.7</v>
      </c>
      <c r="CD48" s="79">
        <v>9.9</v>
      </c>
      <c r="CE48" s="79">
        <v>15.5</v>
      </c>
      <c r="CF48" s="79">
        <v>24.5</v>
      </c>
      <c r="CG48" s="79">
        <v>25</v>
      </c>
      <c r="CH48" s="79">
        <v>101.7</v>
      </c>
      <c r="CI48" s="79">
        <v>27</v>
      </c>
      <c r="CJ48" s="79">
        <v>11.3</v>
      </c>
      <c r="CK48" s="79">
        <v>13.8</v>
      </c>
      <c r="CL48" s="79">
        <v>15.2</v>
      </c>
      <c r="CM48" s="79">
        <v>15</v>
      </c>
      <c r="CN48" s="79"/>
      <c r="CO48" s="79"/>
      <c r="CP48" s="79"/>
      <c r="CQ48" s="79"/>
      <c r="CR48" s="81" t="str">
        <f t="shared" si="19"/>
        <v>х</v>
      </c>
      <c r="CS48" s="79"/>
      <c r="CT48" s="79"/>
      <c r="CU48" s="79"/>
      <c r="CV48" s="79"/>
      <c r="CW48" s="79"/>
      <c r="CX48" s="79"/>
      <c r="CY48" s="79"/>
      <c r="CZ48" s="79"/>
      <c r="DA48" s="79"/>
      <c r="DB48" s="79"/>
      <c r="DC48" s="79"/>
      <c r="DD48" s="79"/>
      <c r="DE48" s="79"/>
      <c r="DF48" s="79"/>
      <c r="DG48" s="79"/>
      <c r="DH48" s="79"/>
      <c r="DI48" s="79"/>
      <c r="DJ48" s="79"/>
      <c r="DK48" s="79"/>
      <c r="DL48" s="79"/>
      <c r="DM48" s="79"/>
      <c r="DN48" s="79"/>
      <c r="DO48" s="79"/>
      <c r="DP48" s="79"/>
      <c r="DQ48" s="79"/>
      <c r="DR48" s="79"/>
      <c r="DS48" s="79"/>
      <c r="DT48" s="79"/>
      <c r="DU48" s="79"/>
      <c r="DV48" s="79"/>
      <c r="DW48" s="79"/>
      <c r="DX48" s="79"/>
      <c r="DY48" s="85" t="s">
        <v>239</v>
      </c>
      <c r="DZ48" s="85" t="s">
        <v>239</v>
      </c>
    </row>
    <row r="49" spans="1:130" ht="38.25">
      <c r="A49" s="31" t="s">
        <v>208</v>
      </c>
      <c r="B49" s="32" t="s">
        <v>209</v>
      </c>
      <c r="C49" s="78">
        <v>269.13</v>
      </c>
      <c r="D49" s="66">
        <f t="shared" si="22"/>
        <v>7</v>
      </c>
      <c r="E49" s="55">
        <f t="shared" si="20"/>
        <v>3389.23</v>
      </c>
      <c r="F49" s="74" t="str">
        <f>HLOOKUP(E49,$R49:$AA$59,11,FALSE)</f>
        <v>Новокуйбышевск</v>
      </c>
      <c r="G49" s="78">
        <v>451.13</v>
      </c>
      <c r="H49" s="66">
        <f t="shared" si="23"/>
        <v>5</v>
      </c>
      <c r="I49" s="55">
        <f t="shared" si="21"/>
        <v>2480.76</v>
      </c>
      <c r="J49" s="74" t="str">
        <f>HLOOKUP(I49,$BC49:$CM$59,11,FALSE)</f>
        <v>Тольятти</v>
      </c>
      <c r="K49" s="81">
        <f t="shared" si="16"/>
        <v>67.63</v>
      </c>
      <c r="L49" s="45" t="s">
        <v>239</v>
      </c>
      <c r="M49" s="86" t="s">
        <v>239</v>
      </c>
      <c r="N49" s="83" t="s">
        <v>239</v>
      </c>
      <c r="O49" s="84" t="s">
        <v>239</v>
      </c>
      <c r="P49" s="84" t="s">
        <v>239</v>
      </c>
      <c r="Q49" s="33"/>
      <c r="R49" s="79">
        <v>1135.34</v>
      </c>
      <c r="S49" s="79">
        <v>2859.39</v>
      </c>
      <c r="T49" s="79">
        <v>480.76</v>
      </c>
      <c r="U49" s="79">
        <v>3389.23</v>
      </c>
      <c r="V49" s="81">
        <f t="shared" si="17"/>
        <v>269.13</v>
      </c>
      <c r="W49" s="79">
        <v>309.21</v>
      </c>
      <c r="X49" s="79">
        <v>96.1</v>
      </c>
      <c r="Y49" s="79">
        <v>90.24</v>
      </c>
      <c r="Z49" s="79">
        <v>52.72</v>
      </c>
      <c r="AA49" s="79">
        <v>2133.44</v>
      </c>
      <c r="AB49" s="79">
        <v>8207.54</v>
      </c>
      <c r="AC49" s="79">
        <v>3896.78</v>
      </c>
      <c r="AD49" s="79">
        <v>6215.1</v>
      </c>
      <c r="AE49" s="79">
        <v>37489.57</v>
      </c>
      <c r="AF49" s="79">
        <v>39045.79</v>
      </c>
      <c r="AG49" s="79">
        <v>621.21</v>
      </c>
      <c r="AH49" s="79">
        <v>361.03</v>
      </c>
      <c r="AI49" s="79">
        <v>911.81</v>
      </c>
      <c r="AJ49" s="79">
        <v>677.49</v>
      </c>
      <c r="AK49" s="79">
        <v>723.69</v>
      </c>
      <c r="AL49" s="79">
        <v>4234.11</v>
      </c>
      <c r="AM49" s="79">
        <v>29097.35</v>
      </c>
      <c r="AN49" s="79">
        <v>7844.91</v>
      </c>
      <c r="AO49" s="79">
        <v>522.65</v>
      </c>
      <c r="AP49" s="79">
        <v>12358.32</v>
      </c>
      <c r="AQ49" s="79">
        <v>15014.23</v>
      </c>
      <c r="AR49" s="79">
        <v>1347.29</v>
      </c>
      <c r="AS49" s="79">
        <v>17911.4</v>
      </c>
      <c r="AT49" s="79">
        <v>6116.53</v>
      </c>
      <c r="AU49" s="79">
        <v>18993.34</v>
      </c>
      <c r="AV49" s="79">
        <v>2029.9</v>
      </c>
      <c r="AW49" s="79">
        <v>1720.03</v>
      </c>
      <c r="AX49" s="79">
        <v>2247.72</v>
      </c>
      <c r="AY49" s="79">
        <v>7245.79</v>
      </c>
      <c r="AZ49" s="79">
        <v>10051.03</v>
      </c>
      <c r="BA49" s="79">
        <v>141.13</v>
      </c>
      <c r="BB49" s="79">
        <v>612.25</v>
      </c>
      <c r="BC49" s="79">
        <v>1414.09</v>
      </c>
      <c r="BD49" s="79">
        <v>2480.76</v>
      </c>
      <c r="BE49" s="79">
        <v>384.46</v>
      </c>
      <c r="BF49" s="79">
        <v>1395.72</v>
      </c>
      <c r="BG49" s="81">
        <f t="shared" si="18"/>
        <v>451.13</v>
      </c>
      <c r="BH49" s="79">
        <v>317.79</v>
      </c>
      <c r="BI49" s="79">
        <v>184.69</v>
      </c>
      <c r="BJ49" s="79">
        <v>73.85</v>
      </c>
      <c r="BK49" s="79">
        <v>217.23</v>
      </c>
      <c r="BL49" s="79">
        <v>2284.13</v>
      </c>
      <c r="BM49" s="79">
        <v>10568.42</v>
      </c>
      <c r="BN49" s="79">
        <v>9306.27</v>
      </c>
      <c r="BO49" s="79">
        <v>6308.09</v>
      </c>
      <c r="BP49" s="79">
        <v>42171.94</v>
      </c>
      <c r="BQ49" s="79">
        <v>31104.69</v>
      </c>
      <c r="BR49" s="79">
        <v>4168</v>
      </c>
      <c r="BS49" s="79">
        <v>542.43</v>
      </c>
      <c r="BT49" s="79">
        <v>1578.74</v>
      </c>
      <c r="BU49" s="79">
        <v>819.51</v>
      </c>
      <c r="BV49" s="79">
        <v>774.54</v>
      </c>
      <c r="BW49" s="79">
        <v>5739.7</v>
      </c>
      <c r="BX49" s="79">
        <v>29500.52</v>
      </c>
      <c r="BY49" s="79">
        <v>7859.5</v>
      </c>
      <c r="BZ49" s="79">
        <v>676.43</v>
      </c>
      <c r="CA49" s="79">
        <v>23258.82</v>
      </c>
      <c r="CB49" s="79">
        <v>13862.08</v>
      </c>
      <c r="CC49" s="79">
        <v>2284.34</v>
      </c>
      <c r="CD49" s="79">
        <v>24610.4</v>
      </c>
      <c r="CE49" s="79">
        <v>7043.61</v>
      </c>
      <c r="CF49" s="79">
        <v>18994.24</v>
      </c>
      <c r="CG49" s="79">
        <v>18190.57</v>
      </c>
      <c r="CH49" s="79">
        <v>114.16</v>
      </c>
      <c r="CI49" s="79">
        <v>3641.8</v>
      </c>
      <c r="CJ49" s="79">
        <v>9006.02</v>
      </c>
      <c r="CK49" s="79">
        <v>10068.44</v>
      </c>
      <c r="CL49" s="79">
        <v>3280.03</v>
      </c>
      <c r="CM49" s="79">
        <v>1719.73</v>
      </c>
      <c r="CN49" s="79"/>
      <c r="CO49" s="79"/>
      <c r="CP49" s="79"/>
      <c r="CQ49" s="79"/>
      <c r="CR49" s="81" t="str">
        <f t="shared" si="19"/>
        <v>х</v>
      </c>
      <c r="CS49" s="79"/>
      <c r="CT49" s="79"/>
      <c r="CU49" s="79"/>
      <c r="CV49" s="79"/>
      <c r="CW49" s="79"/>
      <c r="CX49" s="79"/>
      <c r="CY49" s="79"/>
      <c r="CZ49" s="79"/>
      <c r="DA49" s="79"/>
      <c r="DB49" s="79"/>
      <c r="DC49" s="79"/>
      <c r="DD49" s="79"/>
      <c r="DE49" s="79"/>
      <c r="DF49" s="79"/>
      <c r="DG49" s="79"/>
      <c r="DH49" s="79"/>
      <c r="DI49" s="79"/>
      <c r="DJ49" s="79"/>
      <c r="DK49" s="79"/>
      <c r="DL49" s="79"/>
      <c r="DM49" s="79"/>
      <c r="DN49" s="79"/>
      <c r="DO49" s="79"/>
      <c r="DP49" s="79"/>
      <c r="DQ49" s="79"/>
      <c r="DR49" s="79"/>
      <c r="DS49" s="79"/>
      <c r="DT49" s="79"/>
      <c r="DU49" s="79"/>
      <c r="DV49" s="79"/>
      <c r="DW49" s="79"/>
      <c r="DX49" s="79"/>
      <c r="DY49" s="85" t="s">
        <v>239</v>
      </c>
      <c r="DZ49" s="85" t="s">
        <v>239</v>
      </c>
    </row>
    <row r="50" spans="1:130" ht="25.5">
      <c r="A50" s="31" t="s">
        <v>210</v>
      </c>
      <c r="B50" s="32" t="s">
        <v>211</v>
      </c>
      <c r="C50" s="78">
        <v>21.44</v>
      </c>
      <c r="D50" s="66">
        <f t="shared" si="22"/>
        <v>5</v>
      </c>
      <c r="E50" s="55">
        <f t="shared" si="20"/>
        <v>24.49</v>
      </c>
      <c r="F50" s="74" t="str">
        <f>HLOOKUP(E50,$R50:$AA$59,10,FALSE)</f>
        <v>Жигулёвск</v>
      </c>
      <c r="G50" s="78">
        <v>21.31</v>
      </c>
      <c r="H50" s="66">
        <f t="shared" si="23"/>
        <v>6</v>
      </c>
      <c r="I50" s="55">
        <f t="shared" si="21"/>
        <v>24.78</v>
      </c>
      <c r="J50" s="74" t="str">
        <f>HLOOKUP(I50,$BC50:$CM$59,10,FALSE)</f>
        <v>Кинель</v>
      </c>
      <c r="K50" s="81">
        <f t="shared" si="16"/>
        <v>-0.61</v>
      </c>
      <c r="L50" s="45" t="s">
        <v>239</v>
      </c>
      <c r="M50" s="86" t="s">
        <v>239</v>
      </c>
      <c r="N50" s="83" t="s">
        <v>239</v>
      </c>
      <c r="O50" s="84" t="s">
        <v>239</v>
      </c>
      <c r="P50" s="84" t="s">
        <v>239</v>
      </c>
      <c r="Q50" s="33"/>
      <c r="R50" s="79">
        <v>22.11</v>
      </c>
      <c r="S50" s="79">
        <v>20.17</v>
      </c>
      <c r="T50" s="79">
        <v>14.12</v>
      </c>
      <c r="U50" s="79">
        <v>21.3</v>
      </c>
      <c r="V50" s="81">
        <f t="shared" si="17"/>
        <v>21.44</v>
      </c>
      <c r="W50" s="79">
        <v>22.03</v>
      </c>
      <c r="X50" s="79">
        <v>24.49</v>
      </c>
      <c r="Y50" s="79">
        <v>10.02</v>
      </c>
      <c r="Z50" s="79">
        <v>24.34</v>
      </c>
      <c r="AA50" s="79">
        <v>20.05</v>
      </c>
      <c r="AB50" s="79">
        <v>26.89</v>
      </c>
      <c r="AC50" s="79">
        <v>17.29</v>
      </c>
      <c r="AD50" s="79">
        <v>23.05</v>
      </c>
      <c r="AE50" s="79">
        <v>21.31</v>
      </c>
      <c r="AF50" s="79">
        <v>17.2</v>
      </c>
      <c r="AG50" s="79">
        <v>21.85</v>
      </c>
      <c r="AH50" s="79">
        <v>18.36</v>
      </c>
      <c r="AI50" s="79">
        <v>22.93</v>
      </c>
      <c r="AJ50" s="79">
        <v>22.75</v>
      </c>
      <c r="AK50" s="79">
        <v>19.21</v>
      </c>
      <c r="AL50" s="79">
        <v>19.31</v>
      </c>
      <c r="AM50" s="79">
        <v>22.44</v>
      </c>
      <c r="AN50" s="79">
        <v>23.44</v>
      </c>
      <c r="AO50" s="79">
        <v>12.3</v>
      </c>
      <c r="AP50" s="79">
        <v>23.14</v>
      </c>
      <c r="AQ50" s="79">
        <v>23.58</v>
      </c>
      <c r="AR50" s="79">
        <v>19.87</v>
      </c>
      <c r="AS50" s="79">
        <v>17.96</v>
      </c>
      <c r="AT50" s="79">
        <v>22.76</v>
      </c>
      <c r="AU50" s="79">
        <v>17.96</v>
      </c>
      <c r="AV50" s="79">
        <v>16.84</v>
      </c>
      <c r="AW50" s="79">
        <v>29.47</v>
      </c>
      <c r="AX50" s="79">
        <v>18.71</v>
      </c>
      <c r="AY50" s="79">
        <v>19.9</v>
      </c>
      <c r="AZ50" s="79">
        <v>26.42</v>
      </c>
      <c r="BA50" s="79">
        <v>22.64</v>
      </c>
      <c r="BB50" s="79">
        <v>19.49</v>
      </c>
      <c r="BC50" s="79">
        <v>22.3</v>
      </c>
      <c r="BD50" s="79">
        <v>20.18</v>
      </c>
      <c r="BE50" s="79">
        <v>14.27</v>
      </c>
      <c r="BF50" s="79">
        <v>21.5</v>
      </c>
      <c r="BG50" s="81">
        <f t="shared" si="18"/>
        <v>21.31</v>
      </c>
      <c r="BH50" s="79">
        <v>22.47</v>
      </c>
      <c r="BI50" s="79">
        <v>24.41</v>
      </c>
      <c r="BJ50" s="79">
        <v>9.87</v>
      </c>
      <c r="BK50" s="79">
        <v>24.78</v>
      </c>
      <c r="BL50" s="79">
        <v>20.2</v>
      </c>
      <c r="BM50" s="79">
        <v>27.37</v>
      </c>
      <c r="BN50" s="79">
        <v>18</v>
      </c>
      <c r="BO50" s="79">
        <v>23.05</v>
      </c>
      <c r="BP50" s="79">
        <v>21.76</v>
      </c>
      <c r="BQ50" s="79">
        <v>17.97</v>
      </c>
      <c r="BR50" s="79">
        <v>21.9</v>
      </c>
      <c r="BS50" s="79">
        <v>18.28</v>
      </c>
      <c r="BT50" s="79">
        <v>23.21</v>
      </c>
      <c r="BU50" s="79">
        <v>23.39</v>
      </c>
      <c r="BV50" s="79">
        <v>19.65</v>
      </c>
      <c r="BW50" s="79">
        <v>19.72</v>
      </c>
      <c r="BX50" s="79">
        <v>22.8</v>
      </c>
      <c r="BY50" s="79">
        <v>24.41</v>
      </c>
      <c r="BZ50" s="79">
        <v>12.61</v>
      </c>
      <c r="CA50" s="79">
        <v>23.56</v>
      </c>
      <c r="CB50" s="79">
        <v>24.53</v>
      </c>
      <c r="CC50" s="79">
        <v>20.05</v>
      </c>
      <c r="CD50" s="79">
        <v>18.51</v>
      </c>
      <c r="CE50" s="79">
        <v>23.34</v>
      </c>
      <c r="CF50" s="79">
        <v>18.17</v>
      </c>
      <c r="CG50" s="79">
        <v>17.54</v>
      </c>
      <c r="CH50" s="79">
        <v>29.47</v>
      </c>
      <c r="CI50" s="79">
        <v>19.25</v>
      </c>
      <c r="CJ50" s="79">
        <v>20.56</v>
      </c>
      <c r="CK50" s="79">
        <v>27.26</v>
      </c>
      <c r="CL50" s="79">
        <v>23.46</v>
      </c>
      <c r="CM50" s="79">
        <v>20.39</v>
      </c>
      <c r="CN50" s="79"/>
      <c r="CO50" s="79"/>
      <c r="CP50" s="79"/>
      <c r="CQ50" s="79"/>
      <c r="CR50" s="81" t="str">
        <f t="shared" si="19"/>
        <v>х</v>
      </c>
      <c r="CS50" s="79"/>
      <c r="CT50" s="79"/>
      <c r="CU50" s="79"/>
      <c r="CV50" s="79"/>
      <c r="CW50" s="79"/>
      <c r="CX50" s="79"/>
      <c r="CY50" s="79"/>
      <c r="CZ50" s="79"/>
      <c r="DA50" s="79"/>
      <c r="DB50" s="79"/>
      <c r="DC50" s="79"/>
      <c r="DD50" s="79"/>
      <c r="DE50" s="79"/>
      <c r="DF50" s="79"/>
      <c r="DG50" s="79"/>
      <c r="DH50" s="79"/>
      <c r="DI50" s="79"/>
      <c r="DJ50" s="79"/>
      <c r="DK50" s="79"/>
      <c r="DL50" s="79"/>
      <c r="DM50" s="79"/>
      <c r="DN50" s="79"/>
      <c r="DO50" s="79"/>
      <c r="DP50" s="79"/>
      <c r="DQ50" s="79"/>
      <c r="DR50" s="79"/>
      <c r="DS50" s="79"/>
      <c r="DT50" s="79"/>
      <c r="DU50" s="79"/>
      <c r="DV50" s="79"/>
      <c r="DW50" s="79"/>
      <c r="DX50" s="79"/>
      <c r="DY50" s="85" t="s">
        <v>239</v>
      </c>
      <c r="DZ50" s="85" t="s">
        <v>239</v>
      </c>
    </row>
    <row r="51" spans="1:130" ht="25.5" hidden="1">
      <c r="A51" s="31" t="s">
        <v>212</v>
      </c>
      <c r="B51" s="32" t="s">
        <v>213</v>
      </c>
      <c r="C51" s="78">
        <v>4.56</v>
      </c>
      <c r="D51" s="66">
        <f t="shared" si="22"/>
        <v>4</v>
      </c>
      <c r="E51" s="55">
        <f>IF(LEFT($M$2)&lt;"10",MINA(R51:AA51),MINA(AB51:BB51))</f>
        <v>2.85</v>
      </c>
      <c r="F51" s="74" t="str">
        <f>HLOOKUP(E51,$R51:$AA$59,9,FALSE)</f>
        <v>Тольятти</v>
      </c>
      <c r="G51" s="78"/>
      <c r="H51" s="66">
        <f t="shared" si="23"/>
        <v>1</v>
      </c>
      <c r="I51" s="55">
        <f>IF(LEFT($M$2)&lt;"10",MINA(BC51:BL51),MINA(BM51:CM51))</f>
        <v>0</v>
      </c>
      <c r="J51" s="74" t="str">
        <f>HLOOKUP(I51,$BC51:$CM$59,9,FALSE)</f>
        <v>Чапаевск</v>
      </c>
      <c r="K51" s="81">
        <f t="shared" si="16"/>
        <v>-100</v>
      </c>
      <c r="L51" s="45" t="s">
        <v>239</v>
      </c>
      <c r="M51" s="86" t="s">
        <v>239</v>
      </c>
      <c r="N51" s="83" t="s">
        <v>239</v>
      </c>
      <c r="O51" s="84" t="s">
        <v>239</v>
      </c>
      <c r="P51" s="84" t="s">
        <v>239</v>
      </c>
      <c r="Q51" s="33"/>
      <c r="R51" s="79">
        <v>3.82</v>
      </c>
      <c r="S51" s="79">
        <v>2.85</v>
      </c>
      <c r="T51" s="79">
        <v>3.45</v>
      </c>
      <c r="U51" s="79">
        <v>3.67</v>
      </c>
      <c r="V51" s="81">
        <f t="shared" si="17"/>
        <v>4.56</v>
      </c>
      <c r="W51" s="79">
        <v>4.03</v>
      </c>
      <c r="X51" s="79">
        <v>5.54</v>
      </c>
      <c r="Y51" s="79">
        <v>4.74</v>
      </c>
      <c r="Z51" s="79">
        <v>4.73</v>
      </c>
      <c r="AA51" s="79">
        <v>3.59</v>
      </c>
      <c r="AB51" s="79">
        <v>5.85</v>
      </c>
      <c r="AC51" s="79">
        <v>4.67</v>
      </c>
      <c r="AD51" s="79">
        <v>4.47</v>
      </c>
      <c r="AE51" s="79">
        <v>5.16</v>
      </c>
      <c r="AF51" s="79">
        <v>6.43</v>
      </c>
      <c r="AG51" s="79">
        <v>6.64</v>
      </c>
      <c r="AH51" s="79">
        <v>3.66</v>
      </c>
      <c r="AI51" s="79">
        <v>5.85</v>
      </c>
      <c r="AJ51" s="79">
        <v>5.09</v>
      </c>
      <c r="AK51" s="79">
        <v>6.97</v>
      </c>
      <c r="AL51" s="79">
        <v>5.55</v>
      </c>
      <c r="AM51" s="79">
        <v>4.31</v>
      </c>
      <c r="AN51" s="79">
        <v>7.45</v>
      </c>
      <c r="AO51" s="79">
        <v>5.1</v>
      </c>
      <c r="AP51" s="79">
        <v>5.52</v>
      </c>
      <c r="AQ51" s="79">
        <v>6.22</v>
      </c>
      <c r="AR51" s="79">
        <v>4.19</v>
      </c>
      <c r="AS51" s="79">
        <v>7.54</v>
      </c>
      <c r="AT51" s="79">
        <v>6.85</v>
      </c>
      <c r="AU51" s="79">
        <v>6.17</v>
      </c>
      <c r="AV51" s="79">
        <v>3.51</v>
      </c>
      <c r="AW51" s="79">
        <v>4.39</v>
      </c>
      <c r="AX51" s="79">
        <v>5.07</v>
      </c>
      <c r="AY51" s="79">
        <v>8.02</v>
      </c>
      <c r="AZ51" s="79">
        <v>5.06</v>
      </c>
      <c r="BA51" s="79">
        <v>5.5</v>
      </c>
      <c r="BB51" s="79">
        <v>5.72</v>
      </c>
      <c r="BC51" s="79"/>
      <c r="BD51" s="79"/>
      <c r="BE51" s="79"/>
      <c r="BF51" s="79"/>
      <c r="BG51" s="81">
        <f t="shared" si="18"/>
        <v>0</v>
      </c>
      <c r="BH51" s="79"/>
      <c r="BI51" s="79"/>
      <c r="BJ51" s="79"/>
      <c r="BK51" s="79"/>
      <c r="BL51" s="79"/>
      <c r="BM51" s="79"/>
      <c r="BN51" s="79"/>
      <c r="BO51" s="79"/>
      <c r="BP51" s="79"/>
      <c r="BQ51" s="79"/>
      <c r="BR51" s="79"/>
      <c r="BS51" s="79"/>
      <c r="BT51" s="79"/>
      <c r="BU51" s="79"/>
      <c r="BV51" s="79"/>
      <c r="BW51" s="79"/>
      <c r="BX51" s="79"/>
      <c r="BY51" s="79"/>
      <c r="BZ51" s="79"/>
      <c r="CA51" s="79"/>
      <c r="CB51" s="79"/>
      <c r="CC51" s="79"/>
      <c r="CD51" s="79"/>
      <c r="CE51" s="79"/>
      <c r="CF51" s="79"/>
      <c r="CG51" s="79"/>
      <c r="CH51" s="79"/>
      <c r="CI51" s="79"/>
      <c r="CJ51" s="79"/>
      <c r="CK51" s="79"/>
      <c r="CL51" s="79"/>
      <c r="CM51" s="79"/>
      <c r="CN51" s="79"/>
      <c r="CO51" s="79"/>
      <c r="CP51" s="79"/>
      <c r="CQ51" s="79"/>
      <c r="CR51" s="81" t="str">
        <f t="shared" si="19"/>
        <v>х</v>
      </c>
      <c r="CS51" s="79"/>
      <c r="CT51" s="79"/>
      <c r="CU51" s="79"/>
      <c r="CV51" s="79"/>
      <c r="CW51" s="79"/>
      <c r="CX51" s="79"/>
      <c r="CY51" s="79"/>
      <c r="CZ51" s="79"/>
      <c r="DA51" s="79"/>
      <c r="DB51" s="79"/>
      <c r="DC51" s="79"/>
      <c r="DD51" s="79"/>
      <c r="DE51" s="79"/>
      <c r="DF51" s="79"/>
      <c r="DG51" s="79"/>
      <c r="DH51" s="79"/>
      <c r="DI51" s="79"/>
      <c r="DJ51" s="79"/>
      <c r="DK51" s="79"/>
      <c r="DL51" s="79"/>
      <c r="DM51" s="79"/>
      <c r="DN51" s="79"/>
      <c r="DO51" s="79"/>
      <c r="DP51" s="79"/>
      <c r="DQ51" s="79"/>
      <c r="DR51" s="79"/>
      <c r="DS51" s="79"/>
      <c r="DT51" s="79"/>
      <c r="DU51" s="79"/>
      <c r="DV51" s="79"/>
      <c r="DW51" s="79"/>
      <c r="DX51" s="79"/>
      <c r="DY51" s="85" t="s">
        <v>239</v>
      </c>
      <c r="DZ51" s="85" t="s">
        <v>239</v>
      </c>
    </row>
    <row r="52" spans="1:130" ht="38.25">
      <c r="A52" s="31" t="s">
        <v>214</v>
      </c>
      <c r="B52" s="32" t="s">
        <v>215</v>
      </c>
      <c r="C52" s="78">
        <v>1.51</v>
      </c>
      <c r="D52" s="66">
        <f t="shared" si="22"/>
        <v>4</v>
      </c>
      <c r="E52" s="55">
        <f>IF(LEFT($M$2)&lt;"10",MINA(R52:AA52),MINA(AB52:BB52))</f>
        <v>1.13</v>
      </c>
      <c r="F52" s="74" t="str">
        <f>HLOOKUP(E52,$R52:$AA$59,8,FALSE)</f>
        <v> Самара</v>
      </c>
      <c r="G52" s="78">
        <v>1.72</v>
      </c>
      <c r="H52" s="66">
        <f t="shared" si="23"/>
        <v>3</v>
      </c>
      <c r="I52" s="55">
        <f>IF(LEFT($M$2)&lt;"10",MINA(BC52:BL52),MINA(BM52:CM52))</f>
        <v>1.36</v>
      </c>
      <c r="J52" s="74" t="str">
        <f>HLOOKUP(I52,$BC52:$CM$59,8,FALSE)</f>
        <v>Октябрьск</v>
      </c>
      <c r="K52" s="81">
        <f t="shared" si="16"/>
        <v>13.91</v>
      </c>
      <c r="L52" s="45" t="s">
        <v>239</v>
      </c>
      <c r="M52" s="86" t="s">
        <v>239</v>
      </c>
      <c r="N52" s="83" t="s">
        <v>239</v>
      </c>
      <c r="O52" s="84" t="s">
        <v>239</v>
      </c>
      <c r="P52" s="84" t="s">
        <v>239</v>
      </c>
      <c r="Q52" s="33"/>
      <c r="R52" s="79">
        <v>1.13</v>
      </c>
      <c r="S52" s="79">
        <v>1.29</v>
      </c>
      <c r="T52" s="79">
        <v>1.82</v>
      </c>
      <c r="U52" s="79">
        <v>1.25</v>
      </c>
      <c r="V52" s="81">
        <f t="shared" si="17"/>
        <v>1.51</v>
      </c>
      <c r="W52" s="79">
        <v>1.32</v>
      </c>
      <c r="X52" s="79">
        <v>1.4</v>
      </c>
      <c r="Y52" s="79">
        <v>1.59</v>
      </c>
      <c r="Z52" s="79">
        <v>1.58</v>
      </c>
      <c r="AA52" s="79">
        <v>1.34</v>
      </c>
      <c r="AB52" s="79">
        <v>1.53</v>
      </c>
      <c r="AC52" s="79">
        <v>1.43</v>
      </c>
      <c r="AD52" s="79">
        <v>1.63</v>
      </c>
      <c r="AE52" s="79">
        <v>1.7</v>
      </c>
      <c r="AF52" s="79">
        <v>2.21</v>
      </c>
      <c r="AG52" s="79">
        <v>1.48</v>
      </c>
      <c r="AH52" s="79">
        <v>1.52</v>
      </c>
      <c r="AI52" s="79">
        <v>1.2</v>
      </c>
      <c r="AJ52" s="79">
        <v>1.9</v>
      </c>
      <c r="AK52" s="79">
        <v>1.24</v>
      </c>
      <c r="AL52" s="79">
        <v>1.5</v>
      </c>
      <c r="AM52" s="79">
        <v>1.34</v>
      </c>
      <c r="AN52" s="79">
        <v>2</v>
      </c>
      <c r="AO52" s="79">
        <v>1.96</v>
      </c>
      <c r="AP52" s="79">
        <v>1.55</v>
      </c>
      <c r="AQ52" s="79">
        <v>1.16</v>
      </c>
      <c r="AR52" s="79">
        <v>1.14</v>
      </c>
      <c r="AS52" s="79">
        <v>1.78</v>
      </c>
      <c r="AT52" s="79">
        <v>1.38</v>
      </c>
      <c r="AU52" s="79">
        <v>1.29</v>
      </c>
      <c r="AV52" s="79">
        <v>1.13</v>
      </c>
      <c r="AW52" s="79">
        <v>1.68</v>
      </c>
      <c r="AX52" s="79">
        <v>1.67</v>
      </c>
      <c r="AY52" s="79">
        <v>1.4</v>
      </c>
      <c r="AZ52" s="79">
        <v>1.77</v>
      </c>
      <c r="BA52" s="79">
        <v>1.97</v>
      </c>
      <c r="BB52" s="79">
        <v>1.65</v>
      </c>
      <c r="BC52" s="79">
        <v>1.38</v>
      </c>
      <c r="BD52" s="79">
        <v>1.48</v>
      </c>
      <c r="BE52" s="79">
        <v>2.38</v>
      </c>
      <c r="BF52" s="79">
        <v>1.54</v>
      </c>
      <c r="BG52" s="81">
        <f t="shared" si="18"/>
        <v>1.72</v>
      </c>
      <c r="BH52" s="79">
        <v>1.72</v>
      </c>
      <c r="BI52" s="79">
        <v>1.55</v>
      </c>
      <c r="BJ52" s="79">
        <v>1.36</v>
      </c>
      <c r="BK52" s="79">
        <v>2.17</v>
      </c>
      <c r="BL52" s="79">
        <v>1.36</v>
      </c>
      <c r="BM52" s="79">
        <v>1.62</v>
      </c>
      <c r="BN52" s="79">
        <v>1.51</v>
      </c>
      <c r="BO52" s="79">
        <v>1.61</v>
      </c>
      <c r="BP52" s="79">
        <v>1.66</v>
      </c>
      <c r="BQ52" s="79">
        <v>1.91</v>
      </c>
      <c r="BR52" s="79">
        <v>1.79</v>
      </c>
      <c r="BS52" s="79">
        <v>1.93</v>
      </c>
      <c r="BT52" s="79">
        <v>1.47</v>
      </c>
      <c r="BU52" s="79">
        <v>2.36</v>
      </c>
      <c r="BV52" s="79">
        <v>1.42</v>
      </c>
      <c r="BW52" s="79">
        <v>1.66</v>
      </c>
      <c r="BX52" s="79">
        <v>1.58</v>
      </c>
      <c r="BY52" s="79">
        <v>4.16</v>
      </c>
      <c r="BZ52" s="79">
        <v>2.2</v>
      </c>
      <c r="CA52" s="79">
        <v>1.36</v>
      </c>
      <c r="CB52" s="79">
        <v>1.79</v>
      </c>
      <c r="CC52" s="79">
        <v>1.43</v>
      </c>
      <c r="CD52" s="79">
        <v>2.21</v>
      </c>
      <c r="CE52" s="79">
        <v>1.32</v>
      </c>
      <c r="CF52" s="79">
        <v>1.47</v>
      </c>
      <c r="CG52" s="79">
        <v>1.2</v>
      </c>
      <c r="CH52" s="79">
        <v>1.84</v>
      </c>
      <c r="CI52" s="79">
        <v>1.94</v>
      </c>
      <c r="CJ52" s="79">
        <v>1.46</v>
      </c>
      <c r="CK52" s="79">
        <v>1.42</v>
      </c>
      <c r="CL52" s="79">
        <v>1.75</v>
      </c>
      <c r="CM52" s="79">
        <v>1.59</v>
      </c>
      <c r="CN52" s="79"/>
      <c r="CO52" s="79"/>
      <c r="CP52" s="79"/>
      <c r="CQ52" s="79"/>
      <c r="CR52" s="81" t="str">
        <f t="shared" si="19"/>
        <v>х</v>
      </c>
      <c r="CS52" s="79"/>
      <c r="CT52" s="79"/>
      <c r="CU52" s="79"/>
      <c r="CV52" s="79"/>
      <c r="CW52" s="79"/>
      <c r="CX52" s="79"/>
      <c r="CY52" s="79"/>
      <c r="CZ52" s="79"/>
      <c r="DA52" s="79"/>
      <c r="DB52" s="79"/>
      <c r="DC52" s="79"/>
      <c r="DD52" s="79"/>
      <c r="DE52" s="79"/>
      <c r="DF52" s="79"/>
      <c r="DG52" s="79"/>
      <c r="DH52" s="79"/>
      <c r="DI52" s="79"/>
      <c r="DJ52" s="79"/>
      <c r="DK52" s="79"/>
      <c r="DL52" s="79"/>
      <c r="DM52" s="79"/>
      <c r="DN52" s="79"/>
      <c r="DO52" s="79"/>
      <c r="DP52" s="79"/>
      <c r="DQ52" s="79"/>
      <c r="DR52" s="79"/>
      <c r="DS52" s="79"/>
      <c r="DT52" s="79"/>
      <c r="DU52" s="79"/>
      <c r="DV52" s="79"/>
      <c r="DW52" s="79"/>
      <c r="DX52" s="79"/>
      <c r="DY52" s="85" t="s">
        <v>239</v>
      </c>
      <c r="DZ52" s="85" t="s">
        <v>239</v>
      </c>
    </row>
    <row r="53" spans="1:130" ht="12.75" hidden="1">
      <c r="A53" s="31" t="s">
        <v>216</v>
      </c>
      <c r="B53" s="32" t="s">
        <v>217</v>
      </c>
      <c r="C53" s="78"/>
      <c r="D53" s="66">
        <f>IF(LEFT($M$2,2)&lt;"10",RANK(C53,R53:AA53),RANK(C53,AB53:BB53))</f>
        <v>1</v>
      </c>
      <c r="E53" s="55">
        <f>IF(LEFT($M$2)&lt;"10",MAXA(R53:AA53),MAXA(AB53:BB53))</f>
        <v>0</v>
      </c>
      <c r="F53" s="74" t="str">
        <f>HLOOKUP(E53,$R53:$AA$59,7,FALSE)</f>
        <v>Чапаевск</v>
      </c>
      <c r="G53" s="78"/>
      <c r="H53" s="66">
        <f>IF(LEFT($M$2,2)&lt;"10",RANK(G53,BC53:BL53),RANK(G53,BM53:CM53))</f>
        <v>1</v>
      </c>
      <c r="I53" s="55">
        <f t="shared" si="21"/>
        <v>0</v>
      </c>
      <c r="J53" s="74" t="str">
        <f>HLOOKUP(I53,$BC53:$CM$59,7,FALSE)</f>
        <v>Чапаевск</v>
      </c>
      <c r="K53" s="81" t="e">
        <f t="shared" si="16"/>
        <v>#DIV/0!</v>
      </c>
      <c r="L53" s="45" t="s">
        <v>239</v>
      </c>
      <c r="M53" s="86" t="s">
        <v>239</v>
      </c>
      <c r="N53" s="66" t="e">
        <f>IF(LEFT($M$2,2)&lt;"10",RANK(M53,CN53:CV53),RANK(M53,CW53:DX53))</f>
        <v>#VALUE!</v>
      </c>
      <c r="O53" s="55">
        <f>IF(LEFT($M$2)&lt;"10",MAXA(CN53:CV53),MAXA(CW53:DX53))</f>
        <v>0</v>
      </c>
      <c r="P53" s="84" t="s">
        <v>239</v>
      </c>
      <c r="Q53" s="33"/>
      <c r="R53" s="79"/>
      <c r="S53" s="79"/>
      <c r="T53" s="79"/>
      <c r="U53" s="79"/>
      <c r="V53" s="81">
        <f t="shared" si="17"/>
        <v>0</v>
      </c>
      <c r="W53" s="79"/>
      <c r="X53" s="79"/>
      <c r="Y53" s="79"/>
      <c r="Z53" s="79"/>
      <c r="AA53" s="79"/>
      <c r="AB53" s="79"/>
      <c r="AC53" s="79"/>
      <c r="AD53" s="79"/>
      <c r="AE53" s="79"/>
      <c r="AF53" s="79"/>
      <c r="AG53" s="79"/>
      <c r="AH53" s="79"/>
      <c r="AI53" s="79"/>
      <c r="AJ53" s="79"/>
      <c r="AK53" s="79"/>
      <c r="AL53" s="79"/>
      <c r="AM53" s="79"/>
      <c r="AN53" s="79"/>
      <c r="AO53" s="79"/>
      <c r="AP53" s="79"/>
      <c r="AQ53" s="79"/>
      <c r="AR53" s="79"/>
      <c r="AS53" s="79"/>
      <c r="AT53" s="79"/>
      <c r="AU53" s="79"/>
      <c r="AV53" s="79"/>
      <c r="AW53" s="79"/>
      <c r="AX53" s="79"/>
      <c r="AY53" s="79"/>
      <c r="AZ53" s="79"/>
      <c r="BA53" s="79"/>
      <c r="BB53" s="79"/>
      <c r="BC53" s="79"/>
      <c r="BD53" s="79"/>
      <c r="BE53" s="79"/>
      <c r="BF53" s="79"/>
      <c r="BG53" s="81">
        <f t="shared" si="18"/>
        <v>0</v>
      </c>
      <c r="BH53" s="79"/>
      <c r="BI53" s="79"/>
      <c r="BJ53" s="79"/>
      <c r="BK53" s="79"/>
      <c r="BL53" s="79"/>
      <c r="BM53" s="79"/>
      <c r="BN53" s="79"/>
      <c r="BO53" s="79"/>
      <c r="BP53" s="79"/>
      <c r="BQ53" s="79"/>
      <c r="BR53" s="79"/>
      <c r="BS53" s="79"/>
      <c r="BT53" s="79"/>
      <c r="BU53" s="79"/>
      <c r="BV53" s="79"/>
      <c r="BW53" s="79"/>
      <c r="BX53" s="79"/>
      <c r="BY53" s="79"/>
      <c r="BZ53" s="79"/>
      <c r="CA53" s="79"/>
      <c r="CB53" s="79"/>
      <c r="CC53" s="79"/>
      <c r="CD53" s="79"/>
      <c r="CE53" s="79"/>
      <c r="CF53" s="79"/>
      <c r="CG53" s="79"/>
      <c r="CH53" s="79"/>
      <c r="CI53" s="79"/>
      <c r="CJ53" s="79"/>
      <c r="CK53" s="79"/>
      <c r="CL53" s="79"/>
      <c r="CM53" s="79"/>
      <c r="CN53" s="79"/>
      <c r="CO53" s="79"/>
      <c r="CP53" s="79"/>
      <c r="CQ53" s="79"/>
      <c r="CR53" s="81" t="str">
        <f t="shared" si="19"/>
        <v>х</v>
      </c>
      <c r="CS53" s="79"/>
      <c r="CT53" s="79"/>
      <c r="CU53" s="79"/>
      <c r="CV53" s="79"/>
      <c r="CW53" s="79"/>
      <c r="CX53" s="79"/>
      <c r="CY53" s="79"/>
      <c r="CZ53" s="79"/>
      <c r="DA53" s="79"/>
      <c r="DB53" s="79"/>
      <c r="DC53" s="79"/>
      <c r="DD53" s="79"/>
      <c r="DE53" s="79"/>
      <c r="DF53" s="79"/>
      <c r="DG53" s="79"/>
      <c r="DH53" s="79"/>
      <c r="DI53" s="79"/>
      <c r="DJ53" s="79"/>
      <c r="DK53" s="79"/>
      <c r="DL53" s="79"/>
      <c r="DM53" s="79"/>
      <c r="DN53" s="79"/>
      <c r="DO53" s="79"/>
      <c r="DP53" s="79"/>
      <c r="DQ53" s="79"/>
      <c r="DR53" s="79"/>
      <c r="DS53" s="79"/>
      <c r="DT53" s="79"/>
      <c r="DU53" s="79"/>
      <c r="DV53" s="79"/>
      <c r="DW53" s="79"/>
      <c r="DX53" s="79"/>
      <c r="DY53" s="85" t="s">
        <v>239</v>
      </c>
      <c r="DZ53" s="85" t="s">
        <v>239</v>
      </c>
    </row>
    <row r="54" spans="1:130" ht="12.75" hidden="1">
      <c r="A54" s="31" t="s">
        <v>218</v>
      </c>
      <c r="B54" s="32" t="s">
        <v>219</v>
      </c>
      <c r="C54" s="78"/>
      <c r="D54" s="66">
        <f>IF(LEFT($M$2,2)&lt;"10",RANK(C54,R54:AA54),RANK(C54,AB54:BB54))</f>
        <v>1</v>
      </c>
      <c r="E54" s="55">
        <f>IF(LEFT($M$2)&lt;"10",MAXA(R54:AA54),MAXA(AB54:BB54))</f>
        <v>0</v>
      </c>
      <c r="F54" s="74" t="str">
        <f>HLOOKUP(E54,$R54:$AA$59,6,FALSE)</f>
        <v>Чапаевск</v>
      </c>
      <c r="G54" s="78"/>
      <c r="H54" s="66">
        <f>IF(LEFT($M$2,2)&lt;"10",RANK(G54,BC54:BL54),RANK(G54,BM54:CM54))</f>
        <v>1</v>
      </c>
      <c r="I54" s="55">
        <f t="shared" si="21"/>
        <v>0</v>
      </c>
      <c r="J54" s="74" t="str">
        <f>HLOOKUP(I54,$BC54:$CM$59,6,FALSE)</f>
        <v>Чапаевск</v>
      </c>
      <c r="K54" s="81" t="e">
        <f t="shared" si="16"/>
        <v>#DIV/0!</v>
      </c>
      <c r="L54" s="45" t="s">
        <v>239</v>
      </c>
      <c r="M54" s="86" t="s">
        <v>239</v>
      </c>
      <c r="N54" s="66" t="e">
        <f>IF(LEFT($M$2,2)&lt;"10",RANK(M54,CN54:CV54),RANK(M54,CW54:DX54))</f>
        <v>#VALUE!</v>
      </c>
      <c r="O54" s="55">
        <f>IF(LEFT($M$2)&lt;"10",MAXA(CN54:CV54),MAXA(CW54:DX54))</f>
        <v>0</v>
      </c>
      <c r="P54" s="84" t="s">
        <v>239</v>
      </c>
      <c r="Q54" s="33"/>
      <c r="R54" s="79"/>
      <c r="S54" s="79"/>
      <c r="T54" s="79"/>
      <c r="U54" s="79"/>
      <c r="V54" s="81">
        <f t="shared" si="17"/>
        <v>0</v>
      </c>
      <c r="W54" s="79"/>
      <c r="X54" s="79"/>
      <c r="Y54" s="79"/>
      <c r="Z54" s="79"/>
      <c r="AA54" s="79"/>
      <c r="AB54" s="79"/>
      <c r="AC54" s="79"/>
      <c r="AD54" s="79"/>
      <c r="AE54" s="79"/>
      <c r="AF54" s="79"/>
      <c r="AG54" s="79"/>
      <c r="AH54" s="79"/>
      <c r="AI54" s="79"/>
      <c r="AJ54" s="79"/>
      <c r="AK54" s="79"/>
      <c r="AL54" s="79"/>
      <c r="AM54" s="79"/>
      <c r="AN54" s="79"/>
      <c r="AO54" s="79"/>
      <c r="AP54" s="79"/>
      <c r="AQ54" s="79"/>
      <c r="AR54" s="79"/>
      <c r="AS54" s="79"/>
      <c r="AT54" s="79"/>
      <c r="AU54" s="79"/>
      <c r="AV54" s="79"/>
      <c r="AW54" s="79"/>
      <c r="AX54" s="79"/>
      <c r="AY54" s="79"/>
      <c r="AZ54" s="79"/>
      <c r="BA54" s="79"/>
      <c r="BB54" s="79"/>
      <c r="BC54" s="79"/>
      <c r="BD54" s="79"/>
      <c r="BE54" s="79"/>
      <c r="BF54" s="79"/>
      <c r="BG54" s="81">
        <f t="shared" si="18"/>
        <v>0</v>
      </c>
      <c r="BH54" s="79"/>
      <c r="BI54" s="79"/>
      <c r="BJ54" s="79"/>
      <c r="BK54" s="79"/>
      <c r="BL54" s="79"/>
      <c r="BM54" s="79"/>
      <c r="BN54" s="79"/>
      <c r="BO54" s="79"/>
      <c r="BP54" s="79"/>
      <c r="BQ54" s="79"/>
      <c r="BR54" s="79"/>
      <c r="BS54" s="79"/>
      <c r="BT54" s="79"/>
      <c r="BU54" s="79"/>
      <c r="BV54" s="79"/>
      <c r="BW54" s="79"/>
      <c r="BX54" s="79"/>
      <c r="BY54" s="79"/>
      <c r="BZ54" s="79"/>
      <c r="CA54" s="79"/>
      <c r="CB54" s="79"/>
      <c r="CC54" s="79"/>
      <c r="CD54" s="79"/>
      <c r="CE54" s="79"/>
      <c r="CF54" s="79"/>
      <c r="CG54" s="79"/>
      <c r="CH54" s="79"/>
      <c r="CI54" s="79"/>
      <c r="CJ54" s="79"/>
      <c r="CK54" s="79"/>
      <c r="CL54" s="79"/>
      <c r="CM54" s="79"/>
      <c r="CN54" s="79"/>
      <c r="CO54" s="79"/>
      <c r="CP54" s="79"/>
      <c r="CQ54" s="79"/>
      <c r="CR54" s="81" t="str">
        <f t="shared" si="19"/>
        <v>х</v>
      </c>
      <c r="CS54" s="79"/>
      <c r="CT54" s="79"/>
      <c r="CU54" s="79"/>
      <c r="CV54" s="79"/>
      <c r="CW54" s="79"/>
      <c r="CX54" s="79"/>
      <c r="CY54" s="79"/>
      <c r="CZ54" s="79"/>
      <c r="DA54" s="79"/>
      <c r="DB54" s="79"/>
      <c r="DC54" s="79"/>
      <c r="DD54" s="79"/>
      <c r="DE54" s="79"/>
      <c r="DF54" s="79"/>
      <c r="DG54" s="79"/>
      <c r="DH54" s="79"/>
      <c r="DI54" s="79"/>
      <c r="DJ54" s="79"/>
      <c r="DK54" s="79"/>
      <c r="DL54" s="79"/>
      <c r="DM54" s="79"/>
      <c r="DN54" s="79"/>
      <c r="DO54" s="79"/>
      <c r="DP54" s="79"/>
      <c r="DQ54" s="79"/>
      <c r="DR54" s="79"/>
      <c r="DS54" s="79"/>
      <c r="DT54" s="79"/>
      <c r="DU54" s="79"/>
      <c r="DV54" s="79"/>
      <c r="DW54" s="79"/>
      <c r="DX54" s="79"/>
      <c r="DY54" s="85" t="s">
        <v>239</v>
      </c>
      <c r="DZ54" s="85" t="s">
        <v>239</v>
      </c>
    </row>
    <row r="55" spans="1:130" ht="12.75" hidden="1">
      <c r="A55" s="31" t="s">
        <v>220</v>
      </c>
      <c r="B55" s="32" t="s">
        <v>221</v>
      </c>
      <c r="C55" s="78"/>
      <c r="D55" s="66">
        <f>IF(LEFT($M$2,2)&lt;"10",RANK(C55,R55:AA55),RANK(C55,AB55:BB55))</f>
        <v>1</v>
      </c>
      <c r="E55" s="55">
        <f>IF(LEFT($M$2)&lt;"10",MAXA(R55:AA55),MAXA(AB55:BB55))</f>
        <v>0</v>
      </c>
      <c r="F55" s="74" t="str">
        <f>HLOOKUP(E55,$R55:$AA$59,5,FALSE)</f>
        <v>Чапаевск</v>
      </c>
      <c r="G55" s="78"/>
      <c r="H55" s="66">
        <f>IF(LEFT($M$2,2)&lt;"10",RANK(G55,BC55:BL55),RANK(G55,BM55:CM55))</f>
        <v>1</v>
      </c>
      <c r="I55" s="55">
        <f t="shared" si="21"/>
        <v>0</v>
      </c>
      <c r="J55" s="74" t="str">
        <f>HLOOKUP(I55,$BC55:$CM$59,5,FALSE)</f>
        <v>Чапаевск</v>
      </c>
      <c r="K55" s="81" t="e">
        <f t="shared" si="16"/>
        <v>#DIV/0!</v>
      </c>
      <c r="L55" s="45" t="s">
        <v>239</v>
      </c>
      <c r="M55" s="86" t="s">
        <v>239</v>
      </c>
      <c r="N55" s="66" t="e">
        <f>IF(LEFT($M$2,2)&lt;"10",RANK(M55,CN55:CV55),RANK(M55,CW55:DX55))</f>
        <v>#VALUE!</v>
      </c>
      <c r="O55" s="55">
        <f>IF(LEFT($M$2)&lt;"10",MAXA(CN55:CV55),MAXA(CW55:DX55))</f>
        <v>0</v>
      </c>
      <c r="P55" s="84" t="s">
        <v>239</v>
      </c>
      <c r="Q55" s="33"/>
      <c r="R55" s="79"/>
      <c r="S55" s="79"/>
      <c r="T55" s="79"/>
      <c r="U55" s="79"/>
      <c r="V55" s="81">
        <f t="shared" si="17"/>
        <v>0</v>
      </c>
      <c r="W55" s="79"/>
      <c r="X55" s="79"/>
      <c r="Y55" s="79"/>
      <c r="Z55" s="79"/>
      <c r="AA55" s="79"/>
      <c r="AB55" s="79"/>
      <c r="AC55" s="79"/>
      <c r="AD55" s="79"/>
      <c r="AE55" s="79"/>
      <c r="AF55" s="79"/>
      <c r="AG55" s="79"/>
      <c r="AH55" s="79"/>
      <c r="AI55" s="79"/>
      <c r="AJ55" s="79"/>
      <c r="AK55" s="79"/>
      <c r="AL55" s="79"/>
      <c r="AM55" s="79"/>
      <c r="AN55" s="79"/>
      <c r="AO55" s="79"/>
      <c r="AP55" s="79"/>
      <c r="AQ55" s="79"/>
      <c r="AR55" s="79"/>
      <c r="AS55" s="79"/>
      <c r="AT55" s="79"/>
      <c r="AU55" s="79"/>
      <c r="AV55" s="79"/>
      <c r="AW55" s="79"/>
      <c r="AX55" s="79"/>
      <c r="AY55" s="79"/>
      <c r="AZ55" s="79"/>
      <c r="BA55" s="79"/>
      <c r="BB55" s="79"/>
      <c r="BC55" s="79"/>
      <c r="BD55" s="79"/>
      <c r="BE55" s="79"/>
      <c r="BF55" s="79"/>
      <c r="BG55" s="81">
        <f t="shared" si="18"/>
        <v>0</v>
      </c>
      <c r="BH55" s="79"/>
      <c r="BI55" s="79"/>
      <c r="BJ55" s="79"/>
      <c r="BK55" s="79"/>
      <c r="BL55" s="79"/>
      <c r="BM55" s="79"/>
      <c r="BN55" s="79"/>
      <c r="BO55" s="79"/>
      <c r="BP55" s="79"/>
      <c r="BQ55" s="79"/>
      <c r="BR55" s="79"/>
      <c r="BS55" s="79"/>
      <c r="BT55" s="79"/>
      <c r="BU55" s="79"/>
      <c r="BV55" s="79"/>
      <c r="BW55" s="79"/>
      <c r="BX55" s="79"/>
      <c r="BY55" s="79"/>
      <c r="BZ55" s="79"/>
      <c r="CA55" s="79"/>
      <c r="CB55" s="79"/>
      <c r="CC55" s="79"/>
      <c r="CD55" s="79"/>
      <c r="CE55" s="79"/>
      <c r="CF55" s="79"/>
      <c r="CG55" s="79"/>
      <c r="CH55" s="79"/>
      <c r="CI55" s="79"/>
      <c r="CJ55" s="79"/>
      <c r="CK55" s="79"/>
      <c r="CL55" s="79"/>
      <c r="CM55" s="79"/>
      <c r="CN55" s="79"/>
      <c r="CO55" s="79"/>
      <c r="CP55" s="79"/>
      <c r="CQ55" s="79"/>
      <c r="CR55" s="81" t="str">
        <f t="shared" si="19"/>
        <v>х</v>
      </c>
      <c r="CS55" s="79"/>
      <c r="CT55" s="79"/>
      <c r="CU55" s="79"/>
      <c r="CV55" s="79"/>
      <c r="CW55" s="79"/>
      <c r="CX55" s="79"/>
      <c r="CY55" s="79"/>
      <c r="CZ55" s="79"/>
      <c r="DA55" s="79"/>
      <c r="DB55" s="79"/>
      <c r="DC55" s="79"/>
      <c r="DD55" s="79"/>
      <c r="DE55" s="79"/>
      <c r="DF55" s="79"/>
      <c r="DG55" s="79"/>
      <c r="DH55" s="79"/>
      <c r="DI55" s="79"/>
      <c r="DJ55" s="79"/>
      <c r="DK55" s="79"/>
      <c r="DL55" s="79"/>
      <c r="DM55" s="79"/>
      <c r="DN55" s="79"/>
      <c r="DO55" s="79"/>
      <c r="DP55" s="79"/>
      <c r="DQ55" s="79"/>
      <c r="DR55" s="79"/>
      <c r="DS55" s="79"/>
      <c r="DT55" s="79"/>
      <c r="DU55" s="79"/>
      <c r="DV55" s="79"/>
      <c r="DW55" s="79"/>
      <c r="DX55" s="79"/>
      <c r="DY55" s="85" t="s">
        <v>239</v>
      </c>
      <c r="DZ55" s="85" t="s">
        <v>239</v>
      </c>
    </row>
    <row r="56" spans="2:130" ht="27" customHeight="1" hidden="1">
      <c r="B56" s="1" t="s">
        <v>224</v>
      </c>
      <c r="C56">
        <f>SUM(C22:C23)</f>
        <v>3251.57</v>
      </c>
      <c r="G56">
        <f aca="true" t="shared" si="24" ref="G56:BR56">SUM(G22:G23)</f>
        <v>2285</v>
      </c>
      <c r="K56" t="e">
        <f t="shared" si="24"/>
        <v>#DIV/0!</v>
      </c>
      <c r="L56">
        <f t="shared" si="24"/>
        <v>0</v>
      </c>
      <c r="M56" s="86" t="s">
        <v>239</v>
      </c>
      <c r="P56" s="84" t="s">
        <v>239</v>
      </c>
      <c r="Q56">
        <f t="shared" si="24"/>
        <v>0</v>
      </c>
      <c r="R56">
        <f t="shared" si="24"/>
        <v>67150.96</v>
      </c>
      <c r="S56">
        <f t="shared" si="24"/>
        <v>19980.61</v>
      </c>
      <c r="T56">
        <f t="shared" si="24"/>
        <v>27246.82</v>
      </c>
      <c r="U56">
        <f t="shared" si="24"/>
        <v>8136.87</v>
      </c>
      <c r="V56">
        <f t="shared" si="24"/>
        <v>3251.57</v>
      </c>
      <c r="W56">
        <f t="shared" si="24"/>
        <v>3522.53</v>
      </c>
      <c r="X56">
        <f t="shared" si="24"/>
        <v>9939.91</v>
      </c>
      <c r="Y56">
        <f t="shared" si="24"/>
        <v>1994.1</v>
      </c>
      <c r="Z56">
        <f t="shared" si="24"/>
        <v>21779.46</v>
      </c>
      <c r="AA56">
        <f t="shared" si="24"/>
        <v>226.68</v>
      </c>
      <c r="AB56">
        <f t="shared" si="24"/>
        <v>379.08</v>
      </c>
      <c r="AC56">
        <f t="shared" si="24"/>
        <v>3891.23</v>
      </c>
      <c r="AD56">
        <f t="shared" si="24"/>
        <v>1068.06</v>
      </c>
      <c r="AE56">
        <f t="shared" si="24"/>
        <v>4159.65</v>
      </c>
      <c r="AF56">
        <f t="shared" si="24"/>
        <v>3209.59</v>
      </c>
      <c r="AG56">
        <f t="shared" si="24"/>
        <v>307.14</v>
      </c>
      <c r="AH56">
        <f t="shared" si="24"/>
        <v>8433.06</v>
      </c>
      <c r="AI56">
        <f t="shared" si="24"/>
        <v>4839.320000000001</v>
      </c>
      <c r="AJ56">
        <f t="shared" si="24"/>
        <v>4095.07</v>
      </c>
      <c r="AK56">
        <f t="shared" si="24"/>
        <v>2400.21</v>
      </c>
      <c r="AL56">
        <f t="shared" si="24"/>
        <v>5081.41</v>
      </c>
      <c r="AM56">
        <f t="shared" si="24"/>
        <v>2213.11</v>
      </c>
      <c r="AN56">
        <f t="shared" si="24"/>
        <v>4770.349999999999</v>
      </c>
      <c r="AO56">
        <f t="shared" si="24"/>
        <v>7228.26</v>
      </c>
      <c r="AP56">
        <f t="shared" si="24"/>
        <v>478.8</v>
      </c>
      <c r="AQ56">
        <f t="shared" si="24"/>
        <v>3141</v>
      </c>
      <c r="AR56">
        <f t="shared" si="24"/>
        <v>2051.8</v>
      </c>
      <c r="AS56">
        <f t="shared" si="24"/>
        <v>3220.8500000000004</v>
      </c>
      <c r="AT56">
        <f t="shared" si="24"/>
        <v>1347.3799999999999</v>
      </c>
      <c r="AU56">
        <f t="shared" si="24"/>
        <v>1683.45</v>
      </c>
      <c r="AV56">
        <f t="shared" si="24"/>
        <v>4731.29</v>
      </c>
      <c r="AW56">
        <f t="shared" si="24"/>
        <v>935.9499999999999</v>
      </c>
      <c r="AX56">
        <f t="shared" si="24"/>
        <v>1981.6000000000001</v>
      </c>
      <c r="AY56">
        <f t="shared" si="24"/>
        <v>3174.1</v>
      </c>
      <c r="AZ56">
        <f t="shared" si="24"/>
        <v>1537.88</v>
      </c>
      <c r="BA56">
        <f t="shared" si="24"/>
        <v>2877.39</v>
      </c>
      <c r="BB56">
        <f t="shared" si="24"/>
        <v>3126.58</v>
      </c>
      <c r="BC56">
        <f>SUM(BC22:BC23)</f>
        <v>76317.79</v>
      </c>
      <c r="BD56">
        <f t="shared" si="24"/>
        <v>25538.68</v>
      </c>
      <c r="BE56">
        <f t="shared" si="24"/>
        <v>29426.44</v>
      </c>
      <c r="BF56">
        <f t="shared" si="24"/>
        <v>21295.94</v>
      </c>
      <c r="BG56">
        <f t="shared" si="24"/>
        <v>2285</v>
      </c>
      <c r="BH56">
        <f t="shared" si="24"/>
        <v>11781.82</v>
      </c>
      <c r="BI56">
        <f t="shared" si="24"/>
        <v>7604.62</v>
      </c>
      <c r="BJ56">
        <f t="shared" si="24"/>
        <v>4906.26</v>
      </c>
      <c r="BK56">
        <f t="shared" si="24"/>
        <v>7491.09</v>
      </c>
      <c r="BL56">
        <f t="shared" si="24"/>
        <v>234.56</v>
      </c>
      <c r="BM56">
        <f t="shared" si="24"/>
        <v>2658.28</v>
      </c>
      <c r="BN56">
        <f t="shared" si="24"/>
        <v>6134.23</v>
      </c>
      <c r="BO56">
        <f t="shared" si="24"/>
        <v>1141.33</v>
      </c>
      <c r="BP56">
        <f t="shared" si="24"/>
        <v>2227.47</v>
      </c>
      <c r="BQ56">
        <f t="shared" si="24"/>
        <v>11652.74</v>
      </c>
      <c r="BR56">
        <f t="shared" si="24"/>
        <v>1339.59</v>
      </c>
      <c r="BS56">
        <f aca="true" t="shared" si="25" ref="BS56:DX56">SUM(BS22:BS23)</f>
        <v>38610.24</v>
      </c>
      <c r="BT56">
        <f t="shared" si="25"/>
        <v>5091.450000000001</v>
      </c>
      <c r="BU56">
        <f t="shared" si="25"/>
        <v>2710.12</v>
      </c>
      <c r="BV56">
        <f t="shared" si="25"/>
        <v>2056.5</v>
      </c>
      <c r="BW56">
        <f t="shared" si="25"/>
        <v>6406.75</v>
      </c>
      <c r="BX56">
        <f t="shared" si="25"/>
        <v>1366.58</v>
      </c>
      <c r="BY56">
        <f t="shared" si="25"/>
        <v>3817.49</v>
      </c>
      <c r="BZ56">
        <f t="shared" si="25"/>
        <v>6680.51</v>
      </c>
      <c r="CA56">
        <f t="shared" si="25"/>
        <v>907.34</v>
      </c>
      <c r="CB56">
        <f t="shared" si="25"/>
        <v>2980.7</v>
      </c>
      <c r="CC56">
        <f t="shared" si="25"/>
        <v>16467.49</v>
      </c>
      <c r="CD56">
        <f t="shared" si="25"/>
        <v>6234.93</v>
      </c>
      <c r="CE56">
        <f t="shared" si="25"/>
        <v>819.27</v>
      </c>
      <c r="CF56">
        <f t="shared" si="25"/>
        <v>276.54</v>
      </c>
      <c r="CG56">
        <f t="shared" si="25"/>
        <v>7427.17</v>
      </c>
      <c r="CH56">
        <f t="shared" si="25"/>
        <v>29458.29</v>
      </c>
      <c r="CI56">
        <f t="shared" si="25"/>
        <v>2376.78</v>
      </c>
      <c r="CJ56">
        <f t="shared" si="25"/>
        <v>4913.07</v>
      </c>
      <c r="CK56">
        <f t="shared" si="25"/>
        <v>1672.61</v>
      </c>
      <c r="CL56">
        <f t="shared" si="25"/>
        <v>4580.09</v>
      </c>
      <c r="CM56">
        <f t="shared" si="25"/>
        <v>2915.96</v>
      </c>
      <c r="CN56">
        <f t="shared" si="25"/>
        <v>0</v>
      </c>
      <c r="CO56">
        <f t="shared" si="25"/>
        <v>0</v>
      </c>
      <c r="CP56">
        <f t="shared" si="25"/>
        <v>0</v>
      </c>
      <c r="CQ56">
        <f t="shared" si="25"/>
        <v>0</v>
      </c>
      <c r="CR56">
        <f t="shared" si="25"/>
        <v>0</v>
      </c>
      <c r="CS56">
        <f t="shared" si="25"/>
        <v>0</v>
      </c>
      <c r="CT56">
        <f t="shared" si="25"/>
        <v>0</v>
      </c>
      <c r="CU56">
        <f t="shared" si="25"/>
        <v>0</v>
      </c>
      <c r="CV56">
        <f t="shared" si="25"/>
        <v>0</v>
      </c>
      <c r="CW56">
        <f t="shared" si="25"/>
        <v>0</v>
      </c>
      <c r="CX56">
        <f t="shared" si="25"/>
        <v>0</v>
      </c>
      <c r="CY56">
        <f t="shared" si="25"/>
        <v>0</v>
      </c>
      <c r="CZ56">
        <f t="shared" si="25"/>
        <v>0</v>
      </c>
      <c r="DA56">
        <f t="shared" si="25"/>
        <v>0</v>
      </c>
      <c r="DB56">
        <f t="shared" si="25"/>
        <v>0</v>
      </c>
      <c r="DC56">
        <f t="shared" si="25"/>
        <v>0</v>
      </c>
      <c r="DD56">
        <f t="shared" si="25"/>
        <v>0</v>
      </c>
      <c r="DE56">
        <f t="shared" si="25"/>
        <v>0</v>
      </c>
      <c r="DF56">
        <f t="shared" si="25"/>
        <v>0</v>
      </c>
      <c r="DG56">
        <f t="shared" si="25"/>
        <v>0</v>
      </c>
      <c r="DH56">
        <f t="shared" si="25"/>
        <v>0</v>
      </c>
      <c r="DI56">
        <f t="shared" si="25"/>
        <v>0</v>
      </c>
      <c r="DJ56">
        <f t="shared" si="25"/>
        <v>0</v>
      </c>
      <c r="DK56">
        <f t="shared" si="25"/>
        <v>0</v>
      </c>
      <c r="DL56">
        <f t="shared" si="25"/>
        <v>0</v>
      </c>
      <c r="DM56">
        <f t="shared" si="25"/>
        <v>0</v>
      </c>
      <c r="DN56">
        <f t="shared" si="25"/>
        <v>0</v>
      </c>
      <c r="DO56">
        <f t="shared" si="25"/>
        <v>0</v>
      </c>
      <c r="DP56">
        <f t="shared" si="25"/>
        <v>0</v>
      </c>
      <c r="DQ56">
        <f t="shared" si="25"/>
        <v>0</v>
      </c>
      <c r="DR56">
        <f t="shared" si="25"/>
        <v>0</v>
      </c>
      <c r="DS56">
        <f t="shared" si="25"/>
        <v>0</v>
      </c>
      <c r="DT56">
        <f t="shared" si="25"/>
        <v>0</v>
      </c>
      <c r="DU56">
        <f t="shared" si="25"/>
        <v>0</v>
      </c>
      <c r="DV56">
        <f t="shared" si="25"/>
        <v>0</v>
      </c>
      <c r="DW56">
        <f t="shared" si="25"/>
        <v>0</v>
      </c>
      <c r="DX56">
        <f t="shared" si="25"/>
        <v>0</v>
      </c>
      <c r="DY56" s="85" t="s">
        <v>239</v>
      </c>
      <c r="DZ56" s="85" t="s">
        <v>239</v>
      </c>
    </row>
    <row r="59" spans="13:129" ht="30.75" customHeight="1" hidden="1">
      <c r="M59" s="7"/>
      <c r="R59" s="7" t="s">
        <v>227</v>
      </c>
      <c r="S59" s="7" t="s">
        <v>228</v>
      </c>
      <c r="T59" s="7" t="s">
        <v>229</v>
      </c>
      <c r="U59" s="7" t="s">
        <v>230</v>
      </c>
      <c r="V59" s="7" t="s">
        <v>231</v>
      </c>
      <c r="W59" s="7" t="s">
        <v>232</v>
      </c>
      <c r="X59" s="7" t="s">
        <v>233</v>
      </c>
      <c r="Y59" s="7" t="s">
        <v>234</v>
      </c>
      <c r="Z59" s="7" t="s">
        <v>235</v>
      </c>
      <c r="AA59" s="7" t="s">
        <v>236</v>
      </c>
      <c r="AB59" s="6" t="s">
        <v>117</v>
      </c>
      <c r="AC59" s="6" t="s">
        <v>118</v>
      </c>
      <c r="AD59" s="6" t="s">
        <v>119</v>
      </c>
      <c r="AE59" s="6" t="s">
        <v>120</v>
      </c>
      <c r="AF59" s="6" t="s">
        <v>121</v>
      </c>
      <c r="AG59" s="6" t="s">
        <v>122</v>
      </c>
      <c r="AH59" s="6" t="s">
        <v>123</v>
      </c>
      <c r="AI59" s="6" t="s">
        <v>124</v>
      </c>
      <c r="AJ59" s="6" t="s">
        <v>125</v>
      </c>
      <c r="AK59" s="6" t="s">
        <v>126</v>
      </c>
      <c r="AL59" s="6" t="s">
        <v>127</v>
      </c>
      <c r="AM59" s="6" t="s">
        <v>128</v>
      </c>
      <c r="AN59" s="6" t="s">
        <v>129</v>
      </c>
      <c r="AO59" s="6" t="s">
        <v>130</v>
      </c>
      <c r="AP59" s="6" t="s">
        <v>131</v>
      </c>
      <c r="AQ59" s="6" t="s">
        <v>132</v>
      </c>
      <c r="AR59" s="6" t="s">
        <v>133</v>
      </c>
      <c r="AS59" s="6" t="s">
        <v>134</v>
      </c>
      <c r="AT59" s="6" t="s">
        <v>135</v>
      </c>
      <c r="AU59" s="6" t="s">
        <v>136</v>
      </c>
      <c r="AV59" s="6" t="s">
        <v>137</v>
      </c>
      <c r="AW59" s="6" t="s">
        <v>138</v>
      </c>
      <c r="AX59" s="6" t="s">
        <v>139</v>
      </c>
      <c r="AY59" s="6" t="s">
        <v>140</v>
      </c>
      <c r="AZ59" s="6" t="s">
        <v>141</v>
      </c>
      <c r="BA59" s="6" t="s">
        <v>142</v>
      </c>
      <c r="BB59" s="6" t="s">
        <v>143</v>
      </c>
      <c r="BC59" s="7" t="s">
        <v>237</v>
      </c>
      <c r="BD59" s="7" t="s">
        <v>228</v>
      </c>
      <c r="BE59" s="7" t="s">
        <v>229</v>
      </c>
      <c r="BF59" s="7" t="s">
        <v>230</v>
      </c>
      <c r="BG59" s="7" t="s">
        <v>231</v>
      </c>
      <c r="BH59" s="7" t="s">
        <v>232</v>
      </c>
      <c r="BI59" s="7" t="s">
        <v>233</v>
      </c>
      <c r="BJ59" s="7" t="s">
        <v>234</v>
      </c>
      <c r="BK59" s="7" t="s">
        <v>235</v>
      </c>
      <c r="BL59" s="7" t="s">
        <v>236</v>
      </c>
      <c r="BM59" s="6" t="s">
        <v>117</v>
      </c>
      <c r="BN59" s="6" t="s">
        <v>118</v>
      </c>
      <c r="BO59" s="6" t="s">
        <v>119</v>
      </c>
      <c r="BP59" s="6" t="s">
        <v>120</v>
      </c>
      <c r="BQ59" s="6" t="s">
        <v>121</v>
      </c>
      <c r="BR59" s="6" t="s">
        <v>122</v>
      </c>
      <c r="BS59" s="6" t="s">
        <v>123</v>
      </c>
      <c r="BT59" s="6" t="s">
        <v>124</v>
      </c>
      <c r="BU59" s="6" t="s">
        <v>125</v>
      </c>
      <c r="BV59" s="6" t="s">
        <v>126</v>
      </c>
      <c r="BW59" s="6" t="s">
        <v>127</v>
      </c>
      <c r="BX59" s="6" t="s">
        <v>128</v>
      </c>
      <c r="BY59" s="6" t="s">
        <v>129</v>
      </c>
      <c r="BZ59" s="6" t="s">
        <v>130</v>
      </c>
      <c r="CA59" s="6" t="s">
        <v>131</v>
      </c>
      <c r="CB59" s="6" t="s">
        <v>132</v>
      </c>
      <c r="CC59" s="6" t="s">
        <v>133</v>
      </c>
      <c r="CD59" s="6" t="s">
        <v>134</v>
      </c>
      <c r="CE59" s="6" t="s">
        <v>135</v>
      </c>
      <c r="CF59" s="6" t="s">
        <v>136</v>
      </c>
      <c r="CG59" s="6" t="s">
        <v>137</v>
      </c>
      <c r="CH59" s="6" t="s">
        <v>138</v>
      </c>
      <c r="CI59" s="6" t="s">
        <v>139</v>
      </c>
      <c r="CJ59" s="6" t="s">
        <v>140</v>
      </c>
      <c r="CK59" s="6" t="s">
        <v>141</v>
      </c>
      <c r="CL59" s="6" t="s">
        <v>142</v>
      </c>
      <c r="CM59" s="6" t="s">
        <v>143</v>
      </c>
      <c r="CN59" s="7" t="s">
        <v>237</v>
      </c>
      <c r="CO59" s="7" t="s">
        <v>228</v>
      </c>
      <c r="CP59" s="7" t="s">
        <v>229</v>
      </c>
      <c r="CQ59" s="7" t="s">
        <v>230</v>
      </c>
      <c r="CR59" s="7" t="s">
        <v>231</v>
      </c>
      <c r="CS59" s="7" t="s">
        <v>232</v>
      </c>
      <c r="CT59" s="7" t="s">
        <v>233</v>
      </c>
      <c r="CU59" s="7" t="s">
        <v>234</v>
      </c>
      <c r="CV59" s="7" t="s">
        <v>235</v>
      </c>
      <c r="CW59" s="7" t="s">
        <v>236</v>
      </c>
      <c r="CX59" s="6" t="s">
        <v>117</v>
      </c>
      <c r="CY59" s="6" t="s">
        <v>118</v>
      </c>
      <c r="CZ59" s="6" t="s">
        <v>119</v>
      </c>
      <c r="DA59" s="6" t="s">
        <v>120</v>
      </c>
      <c r="DB59" s="6" t="s">
        <v>121</v>
      </c>
      <c r="DC59" s="6" t="s">
        <v>122</v>
      </c>
      <c r="DD59" s="6" t="s">
        <v>123</v>
      </c>
      <c r="DE59" s="6" t="s">
        <v>124</v>
      </c>
      <c r="DF59" s="6" t="s">
        <v>125</v>
      </c>
      <c r="DG59" s="6" t="s">
        <v>126</v>
      </c>
      <c r="DH59" s="6" t="s">
        <v>127</v>
      </c>
      <c r="DI59" s="6" t="s">
        <v>128</v>
      </c>
      <c r="DJ59" s="6" t="s">
        <v>129</v>
      </c>
      <c r="DK59" s="6" t="s">
        <v>130</v>
      </c>
      <c r="DL59" s="6" t="s">
        <v>131</v>
      </c>
      <c r="DM59" s="6" t="s">
        <v>132</v>
      </c>
      <c r="DN59" s="6" t="s">
        <v>133</v>
      </c>
      <c r="DO59" s="6" t="s">
        <v>134</v>
      </c>
      <c r="DP59" s="6" t="s">
        <v>135</v>
      </c>
      <c r="DQ59" s="6" t="s">
        <v>136</v>
      </c>
      <c r="DR59" s="6" t="s">
        <v>137</v>
      </c>
      <c r="DS59" s="6" t="s">
        <v>138</v>
      </c>
      <c r="DT59" s="6" t="s">
        <v>139</v>
      </c>
      <c r="DU59" s="6" t="s">
        <v>140</v>
      </c>
      <c r="DV59" s="6" t="s">
        <v>141</v>
      </c>
      <c r="DW59" s="6" t="s">
        <v>142</v>
      </c>
      <c r="DX59" s="6" t="s">
        <v>143</v>
      </c>
      <c r="DY59" s="6"/>
    </row>
  </sheetData>
  <sheetProtection formatColumns="0"/>
  <mergeCells count="14">
    <mergeCell ref="G4:I4"/>
    <mergeCell ref="G5:I5"/>
    <mergeCell ref="G7:K7"/>
    <mergeCell ref="M10:P10"/>
    <mergeCell ref="M28:DZ28"/>
    <mergeCell ref="C28:F28"/>
    <mergeCell ref="G28:J28"/>
    <mergeCell ref="C10:F10"/>
    <mergeCell ref="G10:J10"/>
    <mergeCell ref="DZ9:DZ11"/>
    <mergeCell ref="K10:K11"/>
    <mergeCell ref="L10:L11"/>
    <mergeCell ref="DY10:DY11"/>
    <mergeCell ref="C9:DY9"/>
  </mergeCells>
  <printOptions/>
  <pageMargins left="0.17" right="0.17" top="0.58" bottom="0.3" header="0.5118110236220472" footer="0.17"/>
  <pageSetup fitToHeight="1" fitToWidth="1" horizontalDpi="200" verticalDpi="200" orientation="landscape" paperSize="8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"/>
  <sheetViews>
    <sheetView zoomScalePageLayoutView="0" workbookViewId="0" topLeftCell="A1">
      <selection activeCell="C39" sqref="C39"/>
    </sheetView>
  </sheetViews>
  <sheetFormatPr defaultColWidth="9.00390625" defaultRowHeight="12.75"/>
  <sheetData>
    <row r="1" spans="1:2" ht="12.75">
      <c r="A1">
        <v>1</v>
      </c>
      <c r="B1" t="s">
        <v>225</v>
      </c>
    </row>
    <row r="2" spans="1:2" ht="12.75">
      <c r="A2">
        <v>2</v>
      </c>
      <c r="B2" t="s">
        <v>226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Vyalova_EA</dc:creator>
  <cp:keywords/>
  <dc:description/>
  <cp:lastModifiedBy>1</cp:lastModifiedBy>
  <cp:lastPrinted>2009-08-07T09:33:20Z</cp:lastPrinted>
  <dcterms:created xsi:type="dcterms:W3CDTF">2008-08-04T12:48:02Z</dcterms:created>
  <dcterms:modified xsi:type="dcterms:W3CDTF">2009-08-18T04:38:18Z</dcterms:modified>
  <cp:category/>
  <cp:version/>
  <cp:contentType/>
  <cp:contentStatus/>
</cp:coreProperties>
</file>