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firstSheet="2" activeTab="2"/>
  </bookViews>
  <sheets>
    <sheet name="Свод" sheetId="1" state="hidden" r:id="rId1"/>
    <sheet name="Свод 2008-2009" sheetId="2" r:id="rId2"/>
    <sheet name="Свод2009" sheetId="3" r:id="rId3"/>
    <sheet name="Аренда зем уч" sheetId="4" state="hidden" r:id="rId4"/>
    <sheet name="Поступление на 01.07.07" sheetId="5" state="hidden" r:id="rId5"/>
    <sheet name="Лист1" sheetId="6" state="hidden" r:id="rId6"/>
    <sheet name="Имущество физ лиц" sheetId="7" r:id="rId7"/>
    <sheet name="Земельный налог" sheetId="8" r:id="rId8"/>
    <sheet name="НДФЛ" sheetId="9" r:id="rId9"/>
    <sheet name="ЕНВД" sheetId="10" r:id="rId10"/>
    <sheet name="Аренда земельных участков" sheetId="11" r:id="rId11"/>
  </sheets>
  <externalReferences>
    <externalReference r:id="rId14"/>
    <externalReference r:id="rId15"/>
    <externalReference r:id="rId16"/>
    <externalReference r:id="rId17"/>
    <externalReference r:id="rId18"/>
  </externalReferences>
  <definedNames/>
  <calcPr fullCalcOnLoad="1"/>
</workbook>
</file>

<file path=xl/sharedStrings.xml><?xml version="1.0" encoding="utf-8"?>
<sst xmlns="http://schemas.openxmlformats.org/spreadsheetml/2006/main" count="810" uniqueCount="239">
  <si>
    <t>Наименование ОМСУ</t>
  </si>
  <si>
    <t>Резервы постплений в бюджеты ОМСУ, тыс.руб.</t>
  </si>
  <si>
    <t>Налог на имущество физических лиц</t>
  </si>
  <si>
    <t>Земельный налог</t>
  </si>
  <si>
    <t>Налог на доходы физических лиц</t>
  </si>
  <si>
    <t>Единый налог на вмененный доход</t>
  </si>
  <si>
    <t>Арендная плата за землю</t>
  </si>
  <si>
    <t>Итого</t>
  </si>
  <si>
    <t>город Самара</t>
  </si>
  <si>
    <t>город Жигулевск</t>
  </si>
  <si>
    <t>город Кинель</t>
  </si>
  <si>
    <t>город Новокуйбышевск</t>
  </si>
  <si>
    <t>город Октябрьск</t>
  </si>
  <si>
    <t>город Отрадный</t>
  </si>
  <si>
    <t>город Похвистнево</t>
  </si>
  <si>
    <t>город Сызрань</t>
  </si>
  <si>
    <t>город Тольятти</t>
  </si>
  <si>
    <t>город Чапаевск</t>
  </si>
  <si>
    <t>Алексеевский район</t>
  </si>
  <si>
    <t>Безенчукский район</t>
  </si>
  <si>
    <t>Богатовский район</t>
  </si>
  <si>
    <t>Большеглушицкий район</t>
  </si>
  <si>
    <t>Большечерниговский район</t>
  </si>
  <si>
    <t>Борский район</t>
  </si>
  <si>
    <t>Волжский район</t>
  </si>
  <si>
    <t>Елховский район</t>
  </si>
  <si>
    <t>Исаклинский район</t>
  </si>
  <si>
    <t>Камышлинский район</t>
  </si>
  <si>
    <t>Клявлинский район</t>
  </si>
  <si>
    <t>Кинельский район</t>
  </si>
  <si>
    <t>Кинель-Черкасский район</t>
  </si>
  <si>
    <t>Кошкинский район</t>
  </si>
  <si>
    <t>Красноармейский район</t>
  </si>
  <si>
    <t>Красноярский район</t>
  </si>
  <si>
    <t>Нефтегорский район</t>
  </si>
  <si>
    <t>Пестравский район</t>
  </si>
  <si>
    <t>Похвистневский район</t>
  </si>
  <si>
    <t>Приволжский район</t>
  </si>
  <si>
    <t>Сергиевский район</t>
  </si>
  <si>
    <t>Ставропольский район</t>
  </si>
  <si>
    <t>Сызранский район</t>
  </si>
  <si>
    <t>Хворостянский район</t>
  </si>
  <si>
    <t>Челно-Вершинский район</t>
  </si>
  <si>
    <t>Шенталинский район</t>
  </si>
  <si>
    <t>Шигонский район</t>
  </si>
  <si>
    <t>Всего:</t>
  </si>
  <si>
    <t>Наименование источника</t>
  </si>
  <si>
    <t>г.Самара</t>
  </si>
  <si>
    <t>г.Тольятти</t>
  </si>
  <si>
    <t>г.Сызрань</t>
  </si>
  <si>
    <t>г.Новокуйбышевск</t>
  </si>
  <si>
    <t>г.Чапаевск</t>
  </si>
  <si>
    <t>г.Отрадный</t>
  </si>
  <si>
    <t>г.Жигулевск</t>
  </si>
  <si>
    <t>г.Октябрьск</t>
  </si>
  <si>
    <t>г.Кинель</t>
  </si>
  <si>
    <t>г.Похвистнево</t>
  </si>
  <si>
    <t>Больше-Глушицкий район</t>
  </si>
  <si>
    <t>Больше-Черниговский район</t>
  </si>
  <si>
    <t>ФОМС - Самарская область</t>
  </si>
  <si>
    <t>Бюджет субъекта - Самарская область</t>
  </si>
  <si>
    <t>10606000000000110</t>
  </si>
  <si>
    <t>04</t>
  </si>
  <si>
    <t>05</t>
  </si>
  <si>
    <t>10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</si>
  <si>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</si>
  <si>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</si>
  <si>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</si>
  <si>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Доходы, утвержденные законом о бюджете,нормативными правовыми актами о бюджете</t>
  </si>
  <si>
    <t>Исполнено</t>
  </si>
  <si>
    <t>Информация о поступлении арендной платы за земельные участки</t>
  </si>
  <si>
    <t>Площадь переданных в аренду земельных участков, кв.м</t>
  </si>
  <si>
    <t>Поступление арендной платы за 1кв.м, руб.</t>
  </si>
  <si>
    <t>Резерв поступлений, исходя из 1 кв.м., тыс.руб.</t>
  </si>
  <si>
    <t>2006 год</t>
  </si>
  <si>
    <t>1 группа</t>
  </si>
  <si>
    <t>2 группа</t>
  </si>
  <si>
    <t>3 группа</t>
  </si>
  <si>
    <t>4 группа</t>
  </si>
  <si>
    <t>в расчетах не участвует</t>
  </si>
  <si>
    <t>5 группа</t>
  </si>
  <si>
    <t>ИТОГО:</t>
  </si>
  <si>
    <t>11105010000000120</t>
  </si>
  <si>
    <t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</si>
  <si>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11105020000000120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</si>
  <si>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</si>
  <si>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на 01.07.07.</t>
  </si>
  <si>
    <t>Численность населения на 01.01.2007.</t>
  </si>
  <si>
    <t>Для с/х деятельности</t>
  </si>
  <si>
    <t>Для прочих целей</t>
  </si>
  <si>
    <t>№</t>
  </si>
  <si>
    <t>Отчетный период</t>
  </si>
  <si>
    <t>Количество действующих в отчетном периоде договоров</t>
  </si>
  <si>
    <t>из графы 2 количество договоров зарегистрирован-ных в органах Росрегистрации</t>
  </si>
  <si>
    <t>Площадь предоставленных в аренду земельных участков, кв.м</t>
  </si>
  <si>
    <t>Из графы 4:</t>
  </si>
  <si>
    <t>Сумма арендной платы, руб.</t>
  </si>
  <si>
    <t>Всего, (гр.5+гр.6+гр.7)</t>
  </si>
  <si>
    <t>в том числе:</t>
  </si>
  <si>
    <t>начислено согласно заключенных договоров за отчетный период</t>
  </si>
  <si>
    <t>фактическое поступление за отчетный период</t>
  </si>
  <si>
    <t>Всего</t>
  </si>
  <si>
    <t>в т.ч. заключенных на срок более 11 месяцев</t>
  </si>
  <si>
    <t>земельные участки, государственная собственность на которые не разграничена</t>
  </si>
  <si>
    <t>земельные участки, находящиеся в муниципальной собственности</t>
  </si>
  <si>
    <t>земельные участки, находящиеся в собственности поселений</t>
  </si>
  <si>
    <t>для целей сельскохозяйствен-ного производства, жилищного строительства, личного подсобного хозяйства, садоводства, огородничества, животноводства, дачного хозяйства</t>
  </si>
  <si>
    <t>для прочих целей</t>
  </si>
  <si>
    <t>в т.ч. за земельные участки сельхозназначения</t>
  </si>
  <si>
    <t>А</t>
  </si>
  <si>
    <t>Б</t>
  </si>
  <si>
    <t>2007 год</t>
  </si>
  <si>
    <t>`</t>
  </si>
  <si>
    <t>Поступление арендной платы за землю, руб.</t>
  </si>
  <si>
    <t xml:space="preserve">На 01.09.2007. </t>
  </si>
  <si>
    <t>Предварительный расчет резервов поступлений доходов в местные бюджеты.</t>
  </si>
  <si>
    <t>Итого сумма резервов, тыс.руб.</t>
  </si>
  <si>
    <t>Приложение 1</t>
  </si>
  <si>
    <t>Процент разосланных налоговых уведомлений, %</t>
  </si>
  <si>
    <t>Процент собираемости налоговыми органами, %</t>
  </si>
  <si>
    <t>Поступление налога на имущество ФЛ на 1 жителя, руб.</t>
  </si>
  <si>
    <t>Фактическое поступление налога на имущество ФЛ на 1 проинвентаризированный объект, руб</t>
  </si>
  <si>
    <t>Поступление налога на имущество ФЛ на 1 проинвентаризированный объект с учетом рассылки налоговых уведомлений и собираемости налога, руб.</t>
  </si>
  <si>
    <t>Кол-во жителей на 1 проинвент. объект</t>
  </si>
  <si>
    <t>Резерв поступлений, исходя из поступления на 1 проинвентаризарованный объект, тыс.руб.</t>
  </si>
  <si>
    <t>Похвистнево (город + район)</t>
  </si>
  <si>
    <t>Группировка по уровню среднемесячной заработной платы</t>
  </si>
  <si>
    <t>План 2006 г., тыс.руб.</t>
  </si>
  <si>
    <t>Потери м.о. в 2005 г. от изм.налогового законод-ва (без учета роста базы)</t>
  </si>
  <si>
    <t>Потери м.о. в 2005 г. от изменения налогового законодательства (с учетом роста базы)</t>
  </si>
  <si>
    <t>Факт по состоянию на 01.09.2006</t>
  </si>
  <si>
    <t>Исполнение,%</t>
  </si>
  <si>
    <t>Ожидаемое за 2006 год, тыс.руб.</t>
  </si>
  <si>
    <t>Сумма НДФЛ на душу занятого населения, руб./чел.</t>
  </si>
  <si>
    <t>Рост ожидаемых доходов 2006 г. по сравнению в фактом 2005 г.</t>
  </si>
  <si>
    <t>Прогноз на 2007 год</t>
  </si>
  <si>
    <t>Рост прогноза 2007 к ожидаемому 2006 г.</t>
  </si>
  <si>
    <t>Среднесписочная численность работников по крупным и средним предприятиям за 11 мес.2006 г., чел.</t>
  </si>
  <si>
    <t>ФОТ работающих на крупных и средних предприятиях за 2006 г.,тыс.руб.</t>
  </si>
  <si>
    <t xml:space="preserve">Численность трудовых ресурсов занятых в экономике, чел. </t>
  </si>
  <si>
    <t>Резерв поступленй НДФЛ, тыс.руб.</t>
  </si>
  <si>
    <t>Максимальная сумма резерва, тыс.руб.</t>
  </si>
  <si>
    <t>Доля предполагаемого резерва поступлений в плановых назначениях 2006 г.,%</t>
  </si>
  <si>
    <t>тыс.руб.</t>
  </si>
  <si>
    <t>%</t>
  </si>
  <si>
    <t>Самара</t>
  </si>
  <si>
    <t>Тольятти</t>
  </si>
  <si>
    <t>Отрадный</t>
  </si>
  <si>
    <t xml:space="preserve"> Сызрань</t>
  </si>
  <si>
    <t>Жигулевск</t>
  </si>
  <si>
    <t>Кинель</t>
  </si>
  <si>
    <t>Волжский</t>
  </si>
  <si>
    <t>Красноярский</t>
  </si>
  <si>
    <t>Нефтегорский</t>
  </si>
  <si>
    <t>Сергиевский</t>
  </si>
  <si>
    <t>Чапаевск</t>
  </si>
  <si>
    <t>Октябрьск</t>
  </si>
  <si>
    <t>Похвистнево</t>
  </si>
  <si>
    <t>Безенчукский</t>
  </si>
  <si>
    <t>Сызранский</t>
  </si>
  <si>
    <t>Алексеевский</t>
  </si>
  <si>
    <t>Больше-Глушицкий</t>
  </si>
  <si>
    <t>Больше-Черниговский</t>
  </si>
  <si>
    <t>Борский</t>
  </si>
  <si>
    <t>Елховский</t>
  </si>
  <si>
    <t>Исаклинский</t>
  </si>
  <si>
    <t>Кинель-Черкасский</t>
  </si>
  <si>
    <t>Клявлинский</t>
  </si>
  <si>
    <t>Кошкинский</t>
  </si>
  <si>
    <t>Красноармейский</t>
  </si>
  <si>
    <t>Камышлинский</t>
  </si>
  <si>
    <t>Пестравский</t>
  </si>
  <si>
    <t>Похвистневский</t>
  </si>
  <si>
    <t>Приволжский</t>
  </si>
  <si>
    <t>Хворостянский</t>
  </si>
  <si>
    <t>Челно-Вершинский</t>
  </si>
  <si>
    <t>Шенталинский</t>
  </si>
  <si>
    <t>Шигонский</t>
  </si>
  <si>
    <t>Городские округа и муниципальные районы</t>
  </si>
  <si>
    <t>Доля неклассифици-рованных земель (%)</t>
  </si>
  <si>
    <t>ИТОГО</t>
  </si>
  <si>
    <t>В среднем доля классифицированых земель составляет</t>
  </si>
  <si>
    <t>(руб.)</t>
  </si>
  <si>
    <t>город Чапаевек</t>
  </si>
  <si>
    <t xml:space="preserve">Богатовский район </t>
  </si>
  <si>
    <t>Доля классифицированных земель (%)</t>
  </si>
  <si>
    <t>Сумма земельного налога рассчитанная на неклассифицированные земли (руб.)</t>
  </si>
  <si>
    <t xml:space="preserve"> Новокуйбышевск</t>
  </si>
  <si>
    <t>Кинельский</t>
  </si>
  <si>
    <t>Ставропольский</t>
  </si>
  <si>
    <t>Богатовский</t>
  </si>
  <si>
    <t>Численность населения, чел.</t>
  </si>
  <si>
    <t>Доля предполагаемого резерва поступлений 2008 в плановых назначениях 2008 г.,%</t>
  </si>
  <si>
    <t>Сумма резерва, тыс. руб.</t>
  </si>
  <si>
    <t>ЕНВД на душу населения, руб.</t>
  </si>
  <si>
    <t>ОРТ на душу населения, руб.</t>
  </si>
  <si>
    <t>Резервы по ЕНВД, тыс. руб.</t>
  </si>
  <si>
    <t>Таблица 6</t>
  </si>
  <si>
    <t>Таблица 5</t>
  </si>
  <si>
    <t>Таблица 4</t>
  </si>
  <si>
    <t>Таблица 3</t>
  </si>
  <si>
    <t>Таблица 1</t>
  </si>
  <si>
    <t>Резервы поступлений в бюджеты ОМСУ, тыс.руб.</t>
  </si>
  <si>
    <t>Резервы  доходов местных бюджетов на основании данных паспортов доходов городских округов и муниципальных районов Самарской области</t>
  </si>
  <si>
    <t>Расчет резервов доходов местных бюджетов по налогу на имущество физических лиц на основании данных паспортов доходов городских округов и муниципальных районов Самарской области</t>
  </si>
  <si>
    <t>Расчет резервов доходов местных бюджетов по земельному налогу на основании данных паспортов доходов городских округов и муниципальных районов Самарской области</t>
  </si>
  <si>
    <t>Расчет резервов доходов местных бюджетов по арендной плате за земельные участки на основании данных паспортов доходов городских округов и муниципальных районов Самарской области</t>
  </si>
  <si>
    <t>Расчет резервов доходов местных бюджетов по единому налогу на вмененный доход на основании данных паспортов доходов городских округов и муниципальных районов Самарской области</t>
  </si>
  <si>
    <t>Итого 2007, тыс. руб.</t>
  </si>
  <si>
    <t>Предполагаемая сумма резерва поступлений НДФЛ на 2009, рассчитанная исходя из темпов роста ФОТ, тыс.руб.</t>
  </si>
  <si>
    <t>13,0-16,0</t>
  </si>
  <si>
    <t>свыше 16,0</t>
  </si>
  <si>
    <t>1гр. -  ОРТ на душу более 150 тыс. руб.</t>
  </si>
  <si>
    <t>5 гр. - ОРТ на душу 20 - 40 тыс.руб.</t>
  </si>
  <si>
    <t>Рост (+)/снижение (-)</t>
  </si>
  <si>
    <t>Поступление налога на имушество ФЛ в 2009 г., тыс.руб.</t>
  </si>
  <si>
    <t>Количество жителей на 01.01.2010, чел</t>
  </si>
  <si>
    <t>Численность на 01.01.2010</t>
  </si>
  <si>
    <t>Поступило ЕНВД за 2009 год, руб.</t>
  </si>
  <si>
    <t>Факт.2009 г., тыс.руб.</t>
  </si>
  <si>
    <t>Прогноз НДФЛ на 2010 год, исходя из темпов роста ФОТ 2010/2009</t>
  </si>
  <si>
    <t>План муниципального образования на 2010 год, тыс.руб.</t>
  </si>
  <si>
    <t>Численность населения на 01.01.2010.</t>
  </si>
  <si>
    <t>Количество проинвентаризированных объектов на 01.01.10.</t>
  </si>
  <si>
    <t>Среднемесячная зарплата работников по крупным и средним предприятиям за 2009 г.,руб.</t>
  </si>
  <si>
    <t>10,0-11,0</t>
  </si>
  <si>
    <t>8,0-10,0</t>
  </si>
  <si>
    <t>ОРТ за 2009 год, тыс. руб.</t>
  </si>
  <si>
    <t>2 гр. - ОРТ на душу 90 - 150 тыс.руб.</t>
  </si>
  <si>
    <t>3 гр. - ОРТ на душу 60 - 90 тыс.руб.</t>
  </si>
  <si>
    <t>4 гр. - ОРТ на душу 40 - 60 тыс.руб.</t>
  </si>
  <si>
    <t>Итого 2009, тыс. руб.</t>
  </si>
  <si>
    <t>Фактическое поступление земельного налога за 2009 год (руб.)</t>
  </si>
  <si>
    <t>Общая кадастровая стоимость земли (руб.)</t>
  </si>
  <si>
    <t>Кадастровая стоимость неклассифицированных по правам и использованию земель (руб.)</t>
  </si>
  <si>
    <t>Сумма земельного налога на основании расчета министерства управления финансами (при максимально возможном уровне ставок земельного налога) (руб.)</t>
  </si>
  <si>
    <t>Расчет резервов  доходов местных бюджетов по налогу на доходы физических лиц на основании данных паспортов доходов городских округов и муниципальных районов Самарской области</t>
  </si>
  <si>
    <t>6 гр. - ОРТ на душу 12 - 20 тыс.руб.</t>
  </si>
  <si>
    <t>7 гр. - ОРТ на душу менее 12 тыс. руб.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</si>
</sst>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00"/>
    <numFmt numFmtId="167" formatCode="0.0000"/>
    <numFmt numFmtId="168" formatCode="0.0"/>
    <numFmt numFmtId="169" formatCode="_-* #,##0.000_р_._-;\-* #,##0.000_р_._-;_-* &quot;-&quot;?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0"/>
    <numFmt numFmtId="176" formatCode="0.0000000"/>
    <numFmt numFmtId="177" formatCode="0.000000"/>
    <numFmt numFmtId="178" formatCode="0.00000"/>
    <numFmt numFmtId="179" formatCode="_-* #,##0.0_р_._-;\-* #,##0.0_р_._-;_-* &quot;-&quot;?_р_._-;_-@_-"/>
  </numFmts>
  <fonts count="3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6"/>
      <name val="Arial Cyr"/>
      <family val="0"/>
    </font>
    <font>
      <b/>
      <sz val="12"/>
      <name val="Arial Cyr"/>
      <family val="0"/>
    </font>
    <font>
      <sz val="5"/>
      <name val="Arial Cyr"/>
      <family val="0"/>
    </font>
    <font>
      <sz val="10"/>
      <color indexed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Accounting"/>
      <sz val="10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4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164" fontId="0" fillId="0" borderId="10" xfId="58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0" xfId="0" applyNumberFormat="1" applyFill="1" applyBorder="1" applyAlignment="1">
      <alignment vertical="top" wrapText="1"/>
    </xf>
    <xf numFmtId="3" fontId="0" fillId="0" borderId="10" xfId="0" applyNumberFormat="1" applyFill="1" applyBorder="1" applyAlignment="1">
      <alignment/>
    </xf>
    <xf numFmtId="165" fontId="0" fillId="0" borderId="10" xfId="58" applyNumberFormat="1" applyFont="1" applyFill="1" applyBorder="1" applyAlignment="1">
      <alignment/>
    </xf>
    <xf numFmtId="165" fontId="0" fillId="0" borderId="10" xfId="58" applyNumberFormat="1" applyFont="1" applyFill="1" applyBorder="1" applyAlignment="1">
      <alignment horizontal="left" indent="1"/>
    </xf>
    <xf numFmtId="2" fontId="0" fillId="0" borderId="10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43" fontId="0" fillId="0" borderId="10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vertical="top" wrapText="1"/>
    </xf>
    <xf numFmtId="3" fontId="0" fillId="0" borderId="11" xfId="0" applyNumberFormat="1" applyFill="1" applyBorder="1" applyAlignment="1">
      <alignment/>
    </xf>
    <xf numFmtId="165" fontId="0" fillId="0" borderId="11" xfId="58" applyNumberFormat="1" applyFont="1" applyFill="1" applyBorder="1" applyAlignment="1">
      <alignment/>
    </xf>
    <xf numFmtId="165" fontId="0" fillId="0" borderId="11" xfId="58" applyNumberFormat="1" applyFont="1" applyFill="1" applyBorder="1" applyAlignment="1">
      <alignment horizontal="left" indent="1"/>
    </xf>
    <xf numFmtId="0" fontId="0" fillId="0" borderId="12" xfId="0" applyNumberFormat="1" applyFill="1" applyBorder="1" applyAlignment="1">
      <alignment vertical="top" wrapText="1"/>
    </xf>
    <xf numFmtId="0" fontId="0" fillId="0" borderId="13" xfId="0" applyNumberFormat="1" applyFill="1" applyBorder="1" applyAlignment="1">
      <alignment vertical="top" wrapText="1"/>
    </xf>
    <xf numFmtId="3" fontId="0" fillId="0" borderId="13" xfId="0" applyNumberFormat="1" applyFill="1" applyBorder="1" applyAlignment="1">
      <alignment/>
    </xf>
    <xf numFmtId="165" fontId="0" fillId="0" borderId="13" xfId="58" applyNumberFormat="1" applyFont="1" applyFill="1" applyBorder="1" applyAlignment="1">
      <alignment/>
    </xf>
    <xf numFmtId="165" fontId="0" fillId="0" borderId="13" xfId="58" applyNumberFormat="1" applyFont="1" applyFill="1" applyBorder="1" applyAlignment="1">
      <alignment horizontal="left" indent="1"/>
    </xf>
    <xf numFmtId="165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NumberFormat="1" applyFill="1" applyBorder="1" applyAlignment="1">
      <alignment vertical="top" wrapText="1"/>
    </xf>
    <xf numFmtId="3" fontId="0" fillId="0" borderId="15" xfId="0" applyNumberFormat="1" applyFill="1" applyBorder="1" applyAlignment="1">
      <alignment/>
    </xf>
    <xf numFmtId="165" fontId="0" fillId="0" borderId="15" xfId="58" applyNumberFormat="1" applyFont="1" applyFill="1" applyBorder="1" applyAlignment="1">
      <alignment/>
    </xf>
    <xf numFmtId="165" fontId="0" fillId="0" borderId="15" xfId="58" applyNumberFormat="1" applyFont="1" applyFill="1" applyBorder="1" applyAlignment="1">
      <alignment horizontal="left" indent="1"/>
    </xf>
    <xf numFmtId="165" fontId="0" fillId="0" borderId="15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0" fontId="0" fillId="0" borderId="13" xfId="0" applyNumberForma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5" fontId="0" fillId="24" borderId="10" xfId="58" applyNumberFormat="1" applyFont="1" applyFill="1" applyBorder="1" applyAlignment="1">
      <alignment horizontal="left" indent="1"/>
    </xf>
    <xf numFmtId="165" fontId="0" fillId="24" borderId="11" xfId="58" applyNumberFormat="1" applyFont="1" applyFill="1" applyBorder="1" applyAlignment="1">
      <alignment horizontal="left" indent="1"/>
    </xf>
    <xf numFmtId="165" fontId="0" fillId="24" borderId="15" xfId="58" applyNumberFormat="1" applyFont="1" applyFill="1" applyBorder="1" applyAlignment="1">
      <alignment horizontal="left" indent="1"/>
    </xf>
    <xf numFmtId="0" fontId="1" fillId="0" borderId="15" xfId="0" applyFont="1" applyFill="1" applyBorder="1" applyAlignment="1">
      <alignment horizontal="center" vertical="center" wrapText="1"/>
    </xf>
    <xf numFmtId="165" fontId="0" fillId="0" borderId="10" xfId="58" applyNumberFormat="1" applyFont="1" applyFill="1" applyBorder="1" applyAlignment="1">
      <alignment horizontal="center" vertical="center" wrapText="1"/>
    </xf>
    <xf numFmtId="165" fontId="0" fillId="0" borderId="13" xfId="58" applyNumberFormat="1" applyFont="1" applyFill="1" applyBorder="1" applyAlignment="1">
      <alignment vertical="top" wrapText="1"/>
    </xf>
    <xf numFmtId="165" fontId="0" fillId="0" borderId="13" xfId="58" applyNumberFormat="1" applyFont="1" applyFill="1" applyBorder="1" applyAlignment="1">
      <alignment horizontal="center" vertical="center" wrapText="1"/>
    </xf>
    <xf numFmtId="165" fontId="0" fillId="25" borderId="15" xfId="58" applyNumberFormat="1" applyFont="1" applyFill="1" applyBorder="1" applyAlignment="1">
      <alignment horizontal="left" indent="1"/>
    </xf>
    <xf numFmtId="165" fontId="0" fillId="25" borderId="10" xfId="58" applyNumberFormat="1" applyFont="1" applyFill="1" applyBorder="1" applyAlignment="1">
      <alignment horizontal="left" indent="1"/>
    </xf>
    <xf numFmtId="0" fontId="0" fillId="0" borderId="15" xfId="0" applyFill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7" xfId="0" applyNumberFormat="1" applyFont="1" applyBorder="1" applyAlignment="1">
      <alignment vertical="top" wrapText="1"/>
    </xf>
    <xf numFmtId="0" fontId="1" fillId="25" borderId="12" xfId="0" applyNumberFormat="1" applyFont="1" applyFill="1" applyBorder="1" applyAlignment="1">
      <alignment vertical="top" wrapText="1"/>
    </xf>
    <xf numFmtId="0" fontId="1" fillId="25" borderId="10" xfId="0" applyNumberFormat="1" applyFont="1" applyFill="1" applyBorder="1" applyAlignment="1">
      <alignment vertical="top" wrapText="1"/>
    </xf>
    <xf numFmtId="0" fontId="1" fillId="24" borderId="12" xfId="0" applyNumberFormat="1" applyFont="1" applyFill="1" applyBorder="1" applyAlignment="1">
      <alignment vertical="top" wrapText="1"/>
    </xf>
    <xf numFmtId="0" fontId="1" fillId="0" borderId="18" xfId="0" applyNumberFormat="1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0" fillId="0" borderId="10" xfId="58" applyNumberFormat="1" applyFont="1" applyBorder="1" applyAlignment="1">
      <alignment/>
    </xf>
    <xf numFmtId="165" fontId="0" fillId="0" borderId="0" xfId="58" applyNumberFormat="1" applyFont="1" applyAlignment="1">
      <alignment/>
    </xf>
    <xf numFmtId="165" fontId="0" fillId="24" borderId="10" xfId="58" applyNumberFormat="1" applyFont="1" applyFill="1" applyBorder="1" applyAlignment="1">
      <alignment/>
    </xf>
    <xf numFmtId="165" fontId="0" fillId="25" borderId="10" xfId="58" applyNumberFormat="1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165" fontId="0" fillId="0" borderId="0" xfId="0" applyNumberFormat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166" fontId="0" fillId="0" borderId="15" xfId="0" applyNumberFormat="1" applyFill="1" applyBorder="1" applyAlignment="1">
      <alignment/>
    </xf>
    <xf numFmtId="43" fontId="1" fillId="0" borderId="10" xfId="58" applyFont="1" applyBorder="1" applyAlignment="1">
      <alignment vertical="top" wrapText="1"/>
    </xf>
    <xf numFmtId="0" fontId="1" fillId="24" borderId="10" xfId="0" applyNumberFormat="1" applyFont="1" applyFill="1" applyBorder="1" applyAlignment="1">
      <alignment vertical="top" wrapText="1"/>
    </xf>
    <xf numFmtId="165" fontId="4" fillId="0" borderId="15" xfId="0" applyNumberFormat="1" applyFont="1" applyFill="1" applyBorder="1" applyAlignment="1">
      <alignment horizontal="center"/>
    </xf>
    <xf numFmtId="165" fontId="0" fillId="0" borderId="0" xfId="58" applyNumberFormat="1" applyFont="1" applyFill="1" applyAlignment="1">
      <alignment/>
    </xf>
    <xf numFmtId="165" fontId="2" fillId="0" borderId="10" xfId="58" applyNumberFormat="1" applyFont="1" applyFill="1" applyBorder="1" applyAlignment="1">
      <alignment/>
    </xf>
    <xf numFmtId="169" fontId="0" fillId="0" borderId="10" xfId="0" applyNumberFormat="1" applyFill="1" applyBorder="1" applyAlignment="1">
      <alignment horizontal="right"/>
    </xf>
    <xf numFmtId="169" fontId="0" fillId="0" borderId="10" xfId="0" applyNumberFormat="1" applyFill="1" applyBorder="1" applyAlignment="1">
      <alignment/>
    </xf>
    <xf numFmtId="169" fontId="0" fillId="0" borderId="15" xfId="0" applyNumberFormat="1" applyFill="1" applyBorder="1" applyAlignment="1">
      <alignment/>
    </xf>
    <xf numFmtId="0" fontId="5" fillId="0" borderId="0" xfId="0" applyFont="1" applyFill="1" applyAlignment="1">
      <alignment horizontal="center"/>
    </xf>
    <xf numFmtId="3" fontId="2" fillId="0" borderId="13" xfId="0" applyNumberFormat="1" applyFont="1" applyFill="1" applyBorder="1" applyAlignment="1">
      <alignment/>
    </xf>
    <xf numFmtId="165" fontId="2" fillId="0" borderId="13" xfId="58" applyNumberFormat="1" applyFont="1" applyFill="1" applyBorder="1" applyAlignment="1">
      <alignment horizontal="left" indent="1"/>
    </xf>
    <xf numFmtId="43" fontId="2" fillId="0" borderId="10" xfId="0" applyNumberFormat="1" applyFont="1" applyFill="1" applyBorder="1" applyAlignment="1">
      <alignment horizontal="right"/>
    </xf>
    <xf numFmtId="169" fontId="2" fillId="0" borderId="1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vertical="top" wrapText="1"/>
    </xf>
    <xf numFmtId="165" fontId="2" fillId="0" borderId="10" xfId="58" applyNumberFormat="1" applyFont="1" applyFill="1" applyBorder="1" applyAlignment="1">
      <alignment horizontal="left" indent="1"/>
    </xf>
    <xf numFmtId="0" fontId="5" fillId="0" borderId="0" xfId="0" applyFont="1" applyAlignment="1">
      <alignment horizontal="center"/>
    </xf>
    <xf numFmtId="165" fontId="0" fillId="26" borderId="10" xfId="0" applyNumberFormat="1" applyFill="1" applyBorder="1" applyAlignment="1">
      <alignment/>
    </xf>
    <xf numFmtId="165" fontId="0" fillId="26" borderId="15" xfId="0" applyNumberFormat="1" applyFill="1" applyBorder="1" applyAlignment="1">
      <alignment/>
    </xf>
    <xf numFmtId="0" fontId="3" fillId="0" borderId="0" xfId="0" applyFont="1" applyAlignment="1">
      <alignment horizontal="center"/>
    </xf>
    <xf numFmtId="43" fontId="0" fillId="20" borderId="10" xfId="0" applyNumberFormat="1" applyFill="1" applyBorder="1" applyAlignment="1">
      <alignment horizontal="right"/>
    </xf>
    <xf numFmtId="169" fontId="0" fillId="20" borderId="10" xfId="0" applyNumberFormat="1" applyFill="1" applyBorder="1" applyAlignment="1">
      <alignment horizontal="right"/>
    </xf>
    <xf numFmtId="165" fontId="6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/>
    </xf>
    <xf numFmtId="2" fontId="0" fillId="0" borderId="12" xfId="0" applyNumberFormat="1" applyFill="1" applyBorder="1" applyAlignment="1">
      <alignment/>
    </xf>
    <xf numFmtId="164" fontId="0" fillId="0" borderId="13" xfId="58" applyNumberFormat="1" applyFont="1" applyFill="1" applyBorder="1" applyAlignment="1">
      <alignment horizontal="left" indent="1"/>
    </xf>
    <xf numFmtId="2" fontId="0" fillId="0" borderId="13" xfId="0" applyNumberFormat="1" applyFill="1" applyBorder="1" applyAlignment="1">
      <alignment/>
    </xf>
    <xf numFmtId="164" fontId="0" fillId="0" borderId="13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165" fontId="2" fillId="0" borderId="1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165" fontId="7" fillId="0" borderId="0" xfId="58" applyNumberFormat="1" applyFont="1" applyFill="1" applyBorder="1" applyAlignment="1">
      <alignment horizontal="left" indent="1"/>
    </xf>
    <xf numFmtId="2" fontId="7" fillId="0" borderId="0" xfId="0" applyNumberFormat="1" applyFont="1" applyFill="1" applyAlignment="1">
      <alignment/>
    </xf>
    <xf numFmtId="164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65" fontId="0" fillId="0" borderId="10" xfId="58" applyNumberFormat="1" applyFont="1" applyFill="1" applyBorder="1" applyAlignment="1">
      <alignment vertical="top" wrapText="1"/>
    </xf>
    <xf numFmtId="4" fontId="0" fillId="0" borderId="10" xfId="0" applyNumberFormat="1" applyFill="1" applyBorder="1" applyAlignment="1">
      <alignment vertical="top" wrapText="1"/>
    </xf>
    <xf numFmtId="0" fontId="11" fillId="0" borderId="23" xfId="0" applyFont="1" applyBorder="1" applyAlignment="1">
      <alignment/>
    </xf>
    <xf numFmtId="165" fontId="2" fillId="0" borderId="24" xfId="58" applyNumberFormat="1" applyFont="1" applyBorder="1" applyAlignment="1">
      <alignment vertical="top" wrapText="1"/>
    </xf>
    <xf numFmtId="165" fontId="0" fillId="0" borderId="24" xfId="58" applyNumberFormat="1" applyFont="1" applyBorder="1" applyAlignment="1">
      <alignment vertical="top" wrapText="1"/>
    </xf>
    <xf numFmtId="3" fontId="2" fillId="0" borderId="24" xfId="0" applyNumberFormat="1" applyFont="1" applyBorder="1" applyAlignment="1" applyProtection="1">
      <alignment/>
      <protection/>
    </xf>
    <xf numFmtId="165" fontId="0" fillId="0" borderId="25" xfId="58" applyNumberFormat="1" applyFont="1" applyBorder="1" applyAlignment="1">
      <alignment vertical="top" wrapText="1"/>
    </xf>
    <xf numFmtId="165" fontId="2" fillId="0" borderId="25" xfId="58" applyNumberFormat="1" applyFont="1" applyBorder="1" applyAlignment="1">
      <alignment vertical="top" wrapText="1"/>
    </xf>
    <xf numFmtId="165" fontId="2" fillId="0" borderId="24" xfId="0" applyNumberFormat="1" applyFont="1" applyBorder="1" applyAlignment="1">
      <alignment/>
    </xf>
    <xf numFmtId="165" fontId="2" fillId="0" borderId="26" xfId="58" applyNumberFormat="1" applyFont="1" applyBorder="1" applyAlignment="1">
      <alignment vertical="top" wrapText="1"/>
    </xf>
    <xf numFmtId="165" fontId="2" fillId="0" borderId="27" xfId="58" applyNumberFormat="1" applyFont="1" applyBorder="1" applyAlignment="1">
      <alignment vertical="top" wrapText="1"/>
    </xf>
    <xf numFmtId="165" fontId="2" fillId="0" borderId="18" xfId="58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/>
    </xf>
    <xf numFmtId="16" fontId="2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65" fontId="0" fillId="0" borderId="10" xfId="58" applyNumberFormat="1" applyFont="1" applyFill="1" applyBorder="1" applyAlignment="1">
      <alignment vertical="top" wrapText="1"/>
    </xf>
    <xf numFmtId="165" fontId="0" fillId="0" borderId="10" xfId="58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vertical="top" wrapText="1"/>
    </xf>
    <xf numFmtId="165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0" xfId="58" applyNumberFormat="1" applyFont="1" applyBorder="1" applyAlignment="1">
      <alignment vertical="top" wrapText="1"/>
    </xf>
    <xf numFmtId="165" fontId="2" fillId="0" borderId="28" xfId="0" applyNumberFormat="1" applyFont="1" applyFill="1" applyBorder="1" applyAlignment="1">
      <alignment/>
    </xf>
    <xf numFmtId="165" fontId="0" fillId="0" borderId="11" xfId="58" applyNumberFormat="1" applyFont="1" applyFill="1" applyBorder="1" applyAlignment="1">
      <alignment vertical="top" wrapText="1"/>
    </xf>
    <xf numFmtId="165" fontId="2" fillId="0" borderId="29" xfId="58" applyNumberFormat="1" applyFont="1" applyBorder="1" applyAlignment="1">
      <alignment vertical="top" wrapText="1"/>
    </xf>
    <xf numFmtId="165" fontId="0" fillId="0" borderId="10" xfId="58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27" borderId="0" xfId="0" applyFill="1" applyAlignment="1">
      <alignment/>
    </xf>
    <xf numFmtId="165" fontId="0" fillId="27" borderId="0" xfId="58" applyNumberFormat="1" applyFont="1" applyFill="1" applyAlignment="1">
      <alignment/>
    </xf>
    <xf numFmtId="0" fontId="1" fillId="27" borderId="0" xfId="0" applyFont="1" applyFill="1" applyAlignment="1">
      <alignment horizontal="center" vertical="center" wrapText="1"/>
    </xf>
    <xf numFmtId="0" fontId="0" fillId="27" borderId="0" xfId="0" applyFill="1" applyAlignment="1">
      <alignment horizontal="center"/>
    </xf>
    <xf numFmtId="0" fontId="0" fillId="27" borderId="10" xfId="0" applyNumberFormat="1" applyFill="1" applyBorder="1" applyAlignment="1">
      <alignment vertical="top" wrapText="1"/>
    </xf>
    <xf numFmtId="165" fontId="0" fillId="27" borderId="10" xfId="58" applyNumberFormat="1" applyFont="1" applyFill="1" applyBorder="1" applyAlignment="1">
      <alignment horizontal="center" vertical="center" wrapText="1"/>
    </xf>
    <xf numFmtId="3" fontId="0" fillId="27" borderId="10" xfId="0" applyNumberFormat="1" applyFill="1" applyBorder="1" applyAlignment="1">
      <alignment/>
    </xf>
    <xf numFmtId="0" fontId="0" fillId="27" borderId="11" xfId="0" applyNumberFormat="1" applyFill="1" applyBorder="1" applyAlignment="1">
      <alignment vertical="top" wrapText="1"/>
    </xf>
    <xf numFmtId="0" fontId="0" fillId="27" borderId="15" xfId="0" applyNumberFormat="1" applyFill="1" applyBorder="1" applyAlignment="1">
      <alignment vertical="top" wrapText="1"/>
    </xf>
    <xf numFmtId="0" fontId="0" fillId="27" borderId="0" xfId="0" applyNumberFormat="1" applyFill="1" applyBorder="1" applyAlignment="1">
      <alignment vertical="top" wrapText="1"/>
    </xf>
    <xf numFmtId="0" fontId="2" fillId="27" borderId="10" xfId="0" applyFont="1" applyFill="1" applyBorder="1" applyAlignment="1">
      <alignment horizontal="center"/>
    </xf>
    <xf numFmtId="0" fontId="13" fillId="27" borderId="10" xfId="0" applyFont="1" applyFill="1" applyBorder="1" applyAlignment="1">
      <alignment vertical="top" wrapText="1"/>
    </xf>
    <xf numFmtId="4" fontId="13" fillId="27" borderId="10" xfId="0" applyNumberFormat="1" applyFont="1" applyFill="1" applyBorder="1" applyAlignment="1">
      <alignment horizontal="right" vertical="top" wrapText="1"/>
    </xf>
    <xf numFmtId="174" fontId="13" fillId="27" borderId="10" xfId="0" applyNumberFormat="1" applyFont="1" applyFill="1" applyBorder="1" applyAlignment="1">
      <alignment horizontal="right" vertical="top" wrapText="1"/>
    </xf>
    <xf numFmtId="0" fontId="13" fillId="27" borderId="10" xfId="0" applyFont="1" applyFill="1" applyBorder="1" applyAlignment="1">
      <alignment horizontal="right" vertical="top" wrapText="1"/>
    </xf>
    <xf numFmtId="3" fontId="13" fillId="27" borderId="10" xfId="0" applyNumberFormat="1" applyFont="1" applyFill="1" applyBorder="1" applyAlignment="1">
      <alignment horizontal="right" vertical="top" wrapText="1"/>
    </xf>
    <xf numFmtId="3" fontId="13" fillId="27" borderId="10" xfId="0" applyNumberFormat="1" applyFont="1" applyFill="1" applyBorder="1" applyAlignment="1">
      <alignment vertical="top" wrapText="1"/>
    </xf>
    <xf numFmtId="4" fontId="13" fillId="27" borderId="10" xfId="0" applyNumberFormat="1" applyFont="1" applyFill="1" applyBorder="1" applyAlignment="1">
      <alignment vertical="top" wrapText="1"/>
    </xf>
    <xf numFmtId="4" fontId="13" fillId="27" borderId="10" xfId="0" applyNumberFormat="1" applyFont="1" applyFill="1" applyBorder="1" applyAlignment="1">
      <alignment horizontal="left" vertical="top" wrapText="1" indent="2"/>
    </xf>
    <xf numFmtId="2" fontId="13" fillId="27" borderId="10" xfId="0" applyNumberFormat="1" applyFont="1" applyFill="1" applyBorder="1" applyAlignment="1">
      <alignment horizontal="right" vertical="top" wrapText="1"/>
    </xf>
    <xf numFmtId="4" fontId="13" fillId="27" borderId="10" xfId="0" applyNumberFormat="1" applyFont="1" applyFill="1" applyBorder="1" applyAlignment="1">
      <alignment horizontal="left" vertical="top" wrapText="1" indent="1"/>
    </xf>
    <xf numFmtId="0" fontId="0" fillId="27" borderId="0" xfId="0" applyFont="1" applyFill="1" applyBorder="1" applyAlignment="1">
      <alignment/>
    </xf>
    <xf numFmtId="0" fontId="12" fillId="27" borderId="0" xfId="0" applyFont="1" applyFill="1" applyBorder="1" applyAlignment="1">
      <alignment/>
    </xf>
    <xf numFmtId="0" fontId="12" fillId="27" borderId="0" xfId="0" applyFont="1" applyFill="1" applyBorder="1" applyAlignment="1">
      <alignment horizontal="right"/>
    </xf>
    <xf numFmtId="43" fontId="14" fillId="27" borderId="0" xfId="0" applyNumberFormat="1" applyFont="1" applyFill="1" applyBorder="1" applyAlignment="1">
      <alignment horizontal="left"/>
    </xf>
    <xf numFmtId="0" fontId="8" fillId="27" borderId="10" xfId="0" applyFont="1" applyFill="1" applyBorder="1" applyAlignment="1">
      <alignment horizontal="center" vertical="top" wrapText="1"/>
    </xf>
    <xf numFmtId="0" fontId="13" fillId="27" borderId="10" xfId="0" applyFont="1" applyFill="1" applyBorder="1" applyAlignment="1">
      <alignment horizontal="center" vertical="top" wrapText="1"/>
    </xf>
    <xf numFmtId="0" fontId="0" fillId="27" borderId="0" xfId="0" applyFont="1" applyFill="1" applyBorder="1" applyAlignment="1">
      <alignment horizontal="center"/>
    </xf>
    <xf numFmtId="0" fontId="8" fillId="27" borderId="10" xfId="0" applyFont="1" applyFill="1" applyBorder="1" applyAlignment="1">
      <alignment horizontal="center"/>
    </xf>
    <xf numFmtId="4" fontId="8" fillId="27" borderId="10" xfId="0" applyNumberFormat="1" applyFont="1" applyFill="1" applyBorder="1" applyAlignment="1">
      <alignment/>
    </xf>
    <xf numFmtId="0" fontId="0" fillId="27" borderId="0" xfId="0" applyFill="1" applyBorder="1" applyAlignment="1">
      <alignment/>
    </xf>
    <xf numFmtId="0" fontId="1" fillId="27" borderId="10" xfId="0" applyNumberFormat="1" applyFont="1" applyFill="1" applyBorder="1" applyAlignment="1">
      <alignment horizontal="center" vertical="top" wrapText="1"/>
    </xf>
    <xf numFmtId="0" fontId="1" fillId="27" borderId="10" xfId="0" applyNumberFormat="1" applyFont="1" applyFill="1" applyBorder="1" applyAlignment="1">
      <alignment horizontal="left" vertical="top" wrapText="1"/>
    </xf>
    <xf numFmtId="0" fontId="1" fillId="27" borderId="0" xfId="0" applyNumberFormat="1" applyFont="1" applyFill="1" applyBorder="1" applyAlignment="1">
      <alignment horizontal="center" vertical="top" wrapText="1"/>
    </xf>
    <xf numFmtId="3" fontId="0" fillId="2" borderId="10" xfId="0" applyNumberFormat="1" applyFill="1" applyBorder="1" applyAlignment="1">
      <alignment horizontal="center"/>
    </xf>
    <xf numFmtId="0" fontId="0" fillId="2" borderId="10" xfId="0" applyNumberFormat="1" applyFill="1" applyBorder="1" applyAlignment="1">
      <alignment horizontal="left"/>
    </xf>
    <xf numFmtId="165" fontId="0" fillId="2" borderId="10" xfId="58" applyNumberFormat="1" applyFont="1" applyFill="1" applyBorder="1" applyAlignment="1">
      <alignment vertical="top" wrapText="1"/>
    </xf>
    <xf numFmtId="4" fontId="0" fillId="2" borderId="1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4" fontId="0" fillId="27" borderId="0" xfId="0" applyNumberFormat="1" applyFill="1" applyBorder="1" applyAlignment="1">
      <alignment/>
    </xf>
    <xf numFmtId="3" fontId="0" fillId="27" borderId="10" xfId="0" applyNumberFormat="1" applyFill="1" applyBorder="1" applyAlignment="1">
      <alignment horizontal="center"/>
    </xf>
    <xf numFmtId="0" fontId="0" fillId="27" borderId="10" xfId="0" applyNumberFormat="1" applyFill="1" applyBorder="1" applyAlignment="1">
      <alignment horizontal="left"/>
    </xf>
    <xf numFmtId="165" fontId="0" fillId="27" borderId="10" xfId="58" applyNumberFormat="1" applyFont="1" applyFill="1" applyBorder="1" applyAlignment="1">
      <alignment vertical="top" wrapText="1"/>
    </xf>
    <xf numFmtId="4" fontId="0" fillId="27" borderId="10" xfId="0" applyNumberFormat="1" applyFill="1" applyBorder="1" applyAlignment="1">
      <alignment/>
    </xf>
    <xf numFmtId="3" fontId="0" fillId="10" borderId="10" xfId="0" applyNumberFormat="1" applyFill="1" applyBorder="1" applyAlignment="1">
      <alignment horizontal="center"/>
    </xf>
    <xf numFmtId="0" fontId="0" fillId="10" borderId="10" xfId="0" applyNumberFormat="1" applyFill="1" applyBorder="1" applyAlignment="1">
      <alignment horizontal="left"/>
    </xf>
    <xf numFmtId="4" fontId="0" fillId="10" borderId="10" xfId="0" applyNumberFormat="1" applyFill="1" applyBorder="1" applyAlignment="1">
      <alignment/>
    </xf>
    <xf numFmtId="3" fontId="0" fillId="10" borderId="10" xfId="0" applyNumberFormat="1" applyFill="1" applyBorder="1" applyAlignment="1">
      <alignment/>
    </xf>
    <xf numFmtId="165" fontId="0" fillId="10" borderId="10" xfId="58" applyNumberFormat="1" applyFont="1" applyFill="1" applyBorder="1" applyAlignment="1">
      <alignment vertical="top" wrapText="1"/>
    </xf>
    <xf numFmtId="165" fontId="0" fillId="27" borderId="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27" borderId="10" xfId="0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19" xfId="0" applyFont="1" applyFill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5" fillId="27" borderId="19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27" borderId="0" xfId="0" applyFont="1" applyFill="1" applyBorder="1" applyAlignment="1">
      <alignment horizontal="right"/>
    </xf>
    <xf numFmtId="165" fontId="2" fillId="27" borderId="0" xfId="58" applyNumberFormat="1" applyFont="1" applyFill="1" applyAlignment="1">
      <alignment horizontal="right"/>
    </xf>
    <xf numFmtId="0" fontId="2" fillId="27" borderId="19" xfId="0" applyFont="1" applyFill="1" applyBorder="1" applyAlignment="1">
      <alignment horizontal="center" wrapText="1"/>
    </xf>
    <xf numFmtId="0" fontId="3" fillId="27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0" xfId="0" applyFont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11" borderId="12" xfId="0" applyNumberFormat="1" applyFill="1" applyBorder="1" applyAlignment="1">
      <alignment vertical="top" wrapText="1"/>
    </xf>
    <xf numFmtId="0" fontId="0" fillId="11" borderId="13" xfId="0" applyNumberFormat="1" applyFill="1" applyBorder="1" applyAlignment="1">
      <alignment vertical="top" wrapText="1"/>
    </xf>
    <xf numFmtId="43" fontId="2" fillId="11" borderId="10" xfId="0" applyNumberFormat="1" applyFont="1" applyFill="1" applyBorder="1" applyAlignment="1">
      <alignment horizontal="center"/>
    </xf>
    <xf numFmtId="0" fontId="0" fillId="11" borderId="13" xfId="0" applyNumberFormat="1" applyFill="1" applyBorder="1" applyAlignment="1">
      <alignment horizontal="center" vertical="center" textRotation="90" wrapText="1"/>
    </xf>
    <xf numFmtId="165" fontId="0" fillId="11" borderId="13" xfId="58" applyNumberFormat="1" applyFont="1" applyFill="1" applyBorder="1" applyAlignment="1">
      <alignment horizontal="center" vertical="center" wrapText="1"/>
    </xf>
    <xf numFmtId="0" fontId="0" fillId="11" borderId="0" xfId="0" applyNumberFormat="1" applyFill="1" applyBorder="1" applyAlignment="1">
      <alignment vertical="top" wrapText="1"/>
    </xf>
    <xf numFmtId="0" fontId="0" fillId="11" borderId="15" xfId="0" applyFill="1" applyBorder="1" applyAlignment="1">
      <alignment horizontal="center" vertical="center" textRotation="90" wrapText="1"/>
    </xf>
    <xf numFmtId="165" fontId="0" fillId="11" borderId="10" xfId="58" applyNumberFormat="1" applyFont="1" applyFill="1" applyBorder="1" applyAlignment="1">
      <alignment horizontal="center" vertical="center" wrapText="1"/>
    </xf>
    <xf numFmtId="165" fontId="0" fillId="27" borderId="10" xfId="58" applyNumberFormat="1" applyFont="1" applyFill="1" applyBorder="1" applyAlignment="1">
      <alignment horizontal="center"/>
    </xf>
    <xf numFmtId="43" fontId="0" fillId="27" borderId="10" xfId="0" applyNumberFormat="1" applyFill="1" applyBorder="1" applyAlignment="1">
      <alignment horizontal="center"/>
    </xf>
    <xf numFmtId="166" fontId="0" fillId="27" borderId="15" xfId="0" applyNumberFormat="1" applyFill="1" applyBorder="1" applyAlignment="1">
      <alignment horizontal="center"/>
    </xf>
    <xf numFmtId="165" fontId="0" fillId="27" borderId="10" xfId="0" applyNumberFormat="1" applyFill="1" applyBorder="1" applyAlignment="1">
      <alignment horizontal="center"/>
    </xf>
    <xf numFmtId="165" fontId="0" fillId="11" borderId="13" xfId="58" applyNumberFormat="1" applyFont="1" applyFill="1" applyBorder="1" applyAlignment="1">
      <alignment horizontal="center" vertical="top" wrapText="1"/>
    </xf>
    <xf numFmtId="3" fontId="2" fillId="11" borderId="13" xfId="0" applyNumberFormat="1" applyFont="1" applyFill="1" applyBorder="1" applyAlignment="1">
      <alignment horizontal="center"/>
    </xf>
    <xf numFmtId="165" fontId="0" fillId="11" borderId="13" xfId="58" applyNumberFormat="1" applyFont="1" applyFill="1" applyBorder="1" applyAlignment="1">
      <alignment horizontal="center"/>
    </xf>
    <xf numFmtId="165" fontId="2" fillId="11" borderId="13" xfId="58" applyNumberFormat="1" applyFont="1" applyFill="1" applyBorder="1" applyAlignment="1">
      <alignment horizontal="center"/>
    </xf>
    <xf numFmtId="166" fontId="0" fillId="11" borderId="15" xfId="0" applyNumberFormat="1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165" fontId="0" fillId="11" borderId="10" xfId="58" applyNumberFormat="1" applyFont="1" applyFill="1" applyBorder="1" applyAlignment="1">
      <alignment horizontal="center"/>
    </xf>
    <xf numFmtId="3" fontId="0" fillId="27" borderId="11" xfId="0" applyNumberFormat="1" applyFill="1" applyBorder="1" applyAlignment="1">
      <alignment horizontal="center"/>
    </xf>
    <xf numFmtId="165" fontId="0" fillId="27" borderId="11" xfId="58" applyNumberFormat="1" applyFont="1" applyFill="1" applyBorder="1" applyAlignment="1">
      <alignment horizontal="center"/>
    </xf>
    <xf numFmtId="0" fontId="0" fillId="27" borderId="19" xfId="0" applyFill="1" applyBorder="1" applyAlignment="1">
      <alignment horizontal="center"/>
    </xf>
    <xf numFmtId="165" fontId="0" fillId="27" borderId="15" xfId="0" applyNumberFormat="1" applyFill="1" applyBorder="1" applyAlignment="1">
      <alignment horizontal="center"/>
    </xf>
    <xf numFmtId="3" fontId="0" fillId="27" borderId="15" xfId="0" applyNumberFormat="1" applyFill="1" applyBorder="1" applyAlignment="1">
      <alignment horizontal="center"/>
    </xf>
    <xf numFmtId="165" fontId="0" fillId="27" borderId="15" xfId="58" applyNumberFormat="1" applyFont="1" applyFill="1" applyBorder="1" applyAlignment="1">
      <alignment horizontal="center"/>
    </xf>
    <xf numFmtId="165" fontId="0" fillId="27" borderId="16" xfId="0" applyNumberFormat="1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169" fontId="0" fillId="27" borderId="10" xfId="0" applyNumberFormat="1" applyFill="1" applyBorder="1" applyAlignment="1">
      <alignment horizontal="center"/>
    </xf>
    <xf numFmtId="164" fontId="0" fillId="27" borderId="15" xfId="0" applyNumberFormat="1" applyFill="1" applyBorder="1" applyAlignment="1">
      <alignment horizontal="center"/>
    </xf>
    <xf numFmtId="169" fontId="2" fillId="11" borderId="10" xfId="0" applyNumberFormat="1" applyFont="1" applyFill="1" applyBorder="1" applyAlignment="1">
      <alignment horizontal="center"/>
    </xf>
    <xf numFmtId="165" fontId="0" fillId="11" borderId="13" xfId="0" applyNumberFormat="1" applyFill="1" applyBorder="1" applyAlignment="1">
      <alignment horizontal="center"/>
    </xf>
    <xf numFmtId="3" fontId="2" fillId="11" borderId="10" xfId="0" applyNumberFormat="1" applyFont="1" applyFill="1" applyBorder="1" applyAlignment="1">
      <alignment horizontal="center"/>
    </xf>
    <xf numFmtId="165" fontId="2" fillId="11" borderId="10" xfId="58" applyNumberFormat="1" applyFont="1" applyFill="1" applyBorder="1" applyAlignment="1">
      <alignment horizontal="center"/>
    </xf>
    <xf numFmtId="165" fontId="0" fillId="11" borderId="15" xfId="0" applyNumberFormat="1" applyFill="1" applyBorder="1" applyAlignment="1">
      <alignment horizontal="center"/>
    </xf>
    <xf numFmtId="3" fontId="2" fillId="27" borderId="10" xfId="0" applyNumberFormat="1" applyFont="1" applyFill="1" applyBorder="1" applyAlignment="1">
      <alignment horizontal="center"/>
    </xf>
    <xf numFmtId="165" fontId="2" fillId="27" borderId="10" xfId="0" applyNumberFormat="1" applyFont="1" applyFill="1" applyBorder="1" applyAlignment="1">
      <alignment horizontal="center"/>
    </xf>
    <xf numFmtId="165" fontId="2" fillId="27" borderId="10" xfId="58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0" fillId="27" borderId="10" xfId="0" applyFont="1" applyFill="1" applyBorder="1" applyAlignment="1">
      <alignment/>
    </xf>
    <xf numFmtId="3" fontId="0" fillId="27" borderId="10" xfId="0" applyNumberFormat="1" applyFont="1" applyFill="1" applyBorder="1" applyAlignment="1">
      <alignment/>
    </xf>
    <xf numFmtId="4" fontId="0" fillId="27" borderId="10" xfId="0" applyNumberFormat="1" applyFont="1" applyFill="1" applyBorder="1" applyAlignment="1">
      <alignment vertical="top" wrapText="1"/>
    </xf>
    <xf numFmtId="165" fontId="0" fillId="27" borderId="10" xfId="0" applyNumberFormat="1" applyFont="1" applyFill="1" applyBorder="1" applyAlignment="1">
      <alignment/>
    </xf>
    <xf numFmtId="0" fontId="2" fillId="27" borderId="0" xfId="0" applyFont="1" applyFill="1" applyAlignment="1">
      <alignment/>
    </xf>
    <xf numFmtId="0" fontId="5" fillId="27" borderId="0" xfId="0" applyFont="1" applyFill="1" applyBorder="1" applyAlignment="1">
      <alignment horizontal="center" wrapText="1"/>
    </xf>
    <xf numFmtId="165" fontId="2" fillId="27" borderId="24" xfId="58" applyNumberFormat="1" applyFont="1" applyFill="1" applyBorder="1" applyAlignment="1">
      <alignment vertical="top" wrapText="1"/>
    </xf>
    <xf numFmtId="0" fontId="10" fillId="11" borderId="10" xfId="0" applyFont="1" applyFill="1" applyBorder="1" applyAlignment="1">
      <alignment/>
    </xf>
    <xf numFmtId="3" fontId="0" fillId="11" borderId="10" xfId="0" applyNumberFormat="1" applyFont="1" applyFill="1" applyBorder="1" applyAlignment="1">
      <alignment/>
    </xf>
    <xf numFmtId="3" fontId="17" fillId="11" borderId="10" xfId="0" applyNumberFormat="1" applyFont="1" applyFill="1" applyBorder="1" applyAlignment="1">
      <alignment/>
    </xf>
    <xf numFmtId="165" fontId="0" fillId="11" borderId="10" xfId="58" applyNumberFormat="1" applyFont="1" applyFill="1" applyBorder="1" applyAlignment="1">
      <alignment vertical="top" wrapText="1"/>
    </xf>
    <xf numFmtId="4" fontId="0" fillId="11" borderId="10" xfId="0" applyNumberFormat="1" applyFont="1" applyFill="1" applyBorder="1" applyAlignment="1">
      <alignment vertical="top" wrapText="1"/>
    </xf>
    <xf numFmtId="3" fontId="0" fillId="11" borderId="10" xfId="0" applyNumberFormat="1" applyFill="1" applyBorder="1" applyAlignment="1">
      <alignment/>
    </xf>
    <xf numFmtId="4" fontId="0" fillId="11" borderId="10" xfId="0" applyNumberFormat="1" applyFill="1" applyBorder="1" applyAlignment="1">
      <alignment vertical="top" wrapText="1"/>
    </xf>
    <xf numFmtId="4" fontId="0" fillId="9" borderId="10" xfId="0" applyNumberFormat="1" applyFill="1" applyBorder="1" applyAlignment="1">
      <alignment/>
    </xf>
    <xf numFmtId="4" fontId="0" fillId="11" borderId="10" xfId="0" applyNumberFormat="1" applyFill="1" applyBorder="1" applyAlignment="1">
      <alignment/>
    </xf>
    <xf numFmtId="4" fontId="0" fillId="5" borderId="10" xfId="0" applyNumberFormat="1" applyFill="1" applyBorder="1" applyAlignment="1">
      <alignment/>
    </xf>
    <xf numFmtId="4" fontId="0" fillId="8" borderId="10" xfId="0" applyNumberFormat="1" applyFill="1" applyBorder="1" applyAlignment="1">
      <alignment/>
    </xf>
    <xf numFmtId="3" fontId="0" fillId="11" borderId="10" xfId="0" applyNumberFormat="1" applyFill="1" applyBorder="1" applyAlignment="1">
      <alignment horizontal="center"/>
    </xf>
    <xf numFmtId="0" fontId="0" fillId="11" borderId="10" xfId="0" applyNumberFormat="1" applyFill="1" applyBorder="1" applyAlignment="1">
      <alignment horizontal="left"/>
    </xf>
    <xf numFmtId="3" fontId="0" fillId="5" borderId="10" xfId="0" applyNumberFormat="1" applyFill="1" applyBorder="1" applyAlignment="1">
      <alignment horizontal="center"/>
    </xf>
    <xf numFmtId="0" fontId="0" fillId="5" borderId="10" xfId="0" applyNumberFormat="1" applyFill="1" applyBorder="1" applyAlignment="1">
      <alignment horizontal="left"/>
    </xf>
    <xf numFmtId="165" fontId="0" fillId="5" borderId="10" xfId="58" applyNumberFormat="1" applyFont="1" applyFill="1" applyBorder="1" applyAlignment="1">
      <alignment vertical="top" wrapText="1"/>
    </xf>
    <xf numFmtId="3" fontId="0" fillId="5" borderId="10" xfId="0" applyNumberFormat="1" applyFill="1" applyBorder="1" applyAlignment="1">
      <alignment/>
    </xf>
    <xf numFmtId="3" fontId="0" fillId="9" borderId="10" xfId="0" applyNumberFormat="1" applyFill="1" applyBorder="1" applyAlignment="1">
      <alignment horizontal="center"/>
    </xf>
    <xf numFmtId="0" fontId="0" fillId="9" borderId="10" xfId="0" applyNumberFormat="1" applyFill="1" applyBorder="1" applyAlignment="1">
      <alignment horizontal="left"/>
    </xf>
    <xf numFmtId="165" fontId="0" fillId="9" borderId="10" xfId="58" applyNumberFormat="1" applyFont="1" applyFill="1" applyBorder="1" applyAlignment="1">
      <alignment vertical="top" wrapText="1"/>
    </xf>
    <xf numFmtId="3" fontId="0" fillId="9" borderId="10" xfId="0" applyNumberFormat="1" applyFill="1" applyBorder="1" applyAlignment="1">
      <alignment/>
    </xf>
    <xf numFmtId="3" fontId="0" fillId="8" borderId="10" xfId="0" applyNumberFormat="1" applyFill="1" applyBorder="1" applyAlignment="1">
      <alignment horizontal="center"/>
    </xf>
    <xf numFmtId="0" fontId="0" fillId="8" borderId="10" xfId="0" applyNumberFormat="1" applyFill="1" applyBorder="1" applyAlignment="1">
      <alignment horizontal="left"/>
    </xf>
    <xf numFmtId="165" fontId="0" fillId="8" borderId="10" xfId="58" applyNumberFormat="1" applyFont="1" applyFill="1" applyBorder="1" applyAlignment="1">
      <alignment vertical="top" wrapText="1"/>
    </xf>
    <xf numFmtId="3" fontId="0" fillId="8" borderId="10" xfId="0" applyNumberFormat="1" applyFill="1" applyBorder="1" applyAlignment="1">
      <alignment/>
    </xf>
    <xf numFmtId="3" fontId="0" fillId="22" borderId="10" xfId="0" applyNumberFormat="1" applyFill="1" applyBorder="1" applyAlignment="1">
      <alignment horizontal="center"/>
    </xf>
    <xf numFmtId="0" fontId="0" fillId="22" borderId="10" xfId="0" applyNumberFormat="1" applyFill="1" applyBorder="1" applyAlignment="1">
      <alignment horizontal="left"/>
    </xf>
    <xf numFmtId="165" fontId="0" fillId="22" borderId="10" xfId="58" applyNumberFormat="1" applyFont="1" applyFill="1" applyBorder="1" applyAlignment="1">
      <alignment vertical="top" wrapText="1"/>
    </xf>
    <xf numFmtId="4" fontId="0" fillId="22" borderId="10" xfId="0" applyNumberFormat="1" applyFill="1" applyBorder="1" applyAlignment="1">
      <alignment/>
    </xf>
    <xf numFmtId="3" fontId="0" fillId="22" borderId="10" xfId="0" applyNumberFormat="1" applyFill="1" applyBorder="1" applyAlignment="1">
      <alignment/>
    </xf>
    <xf numFmtId="165" fontId="2" fillId="0" borderId="10" xfId="0" applyNumberFormat="1" applyFont="1" applyBorder="1" applyAlignment="1">
      <alignment/>
    </xf>
    <xf numFmtId="165" fontId="0" fillId="0" borderId="10" xfId="58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 wrapText="1"/>
    </xf>
    <xf numFmtId="165" fontId="0" fillId="0" borderId="10" xfId="0" applyNumberFormat="1" applyBorder="1" applyAlignment="1">
      <alignment/>
    </xf>
    <xf numFmtId="0" fontId="2" fillId="11" borderId="10" xfId="0" applyFont="1" applyFill="1" applyBorder="1" applyAlignment="1">
      <alignment horizontal="center" vertical="center" wrapText="1"/>
    </xf>
    <xf numFmtId="165" fontId="0" fillId="11" borderId="10" xfId="58" applyNumberFormat="1" applyFont="1" applyFill="1" applyBorder="1" applyAlignment="1">
      <alignment/>
    </xf>
    <xf numFmtId="165" fontId="0" fillId="11" borderId="10" xfId="58" applyNumberFormat="1" applyFont="1" applyFill="1" applyBorder="1" applyAlignment="1">
      <alignment horizontal="right"/>
    </xf>
    <xf numFmtId="0" fontId="16" fillId="11" borderId="13" xfId="0" applyFont="1" applyFill="1" applyBorder="1" applyAlignment="1">
      <alignment horizontal="center" vertical="center" wrapText="1"/>
    </xf>
    <xf numFmtId="0" fontId="16" fillId="11" borderId="10" xfId="0" applyFont="1" applyFill="1" applyBorder="1" applyAlignment="1">
      <alignment horizontal="center" vertical="center" wrapText="1"/>
    </xf>
    <xf numFmtId="0" fontId="3" fillId="27" borderId="0" xfId="0" applyFont="1" applyFill="1" applyBorder="1" applyAlignment="1" applyProtection="1">
      <alignment horizontal="center" vertical="center" wrapText="1"/>
      <protection locked="0"/>
    </xf>
    <xf numFmtId="0" fontId="1" fillId="27" borderId="15" xfId="0" applyFont="1" applyFill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 wrapText="1"/>
    </xf>
    <xf numFmtId="0" fontId="0" fillId="27" borderId="10" xfId="0" applyFill="1" applyBorder="1" applyAlignment="1">
      <alignment horizontal="center"/>
    </xf>
    <xf numFmtId="165" fontId="0" fillId="27" borderId="0" xfId="0" applyNumberFormat="1" applyFill="1" applyAlignment="1">
      <alignment/>
    </xf>
    <xf numFmtId="165" fontId="0" fillId="0" borderId="10" xfId="58" applyNumberFormat="1" applyFont="1" applyBorder="1" applyAlignment="1">
      <alignment horizontal="center"/>
    </xf>
    <xf numFmtId="0" fontId="0" fillId="27" borderId="19" xfId="0" applyFill="1" applyBorder="1" applyAlignment="1">
      <alignment horizontal="center" vertical="center" textRotation="90" wrapText="1"/>
    </xf>
    <xf numFmtId="165" fontId="2" fillId="0" borderId="11" xfId="58" applyNumberFormat="1" applyFont="1" applyFill="1" applyBorder="1" applyAlignment="1">
      <alignment/>
    </xf>
    <xf numFmtId="165" fontId="2" fillId="0" borderId="15" xfId="58" applyNumberFormat="1" applyFont="1" applyFill="1" applyBorder="1" applyAlignment="1">
      <alignment/>
    </xf>
    <xf numFmtId="165" fontId="0" fillId="0" borderId="13" xfId="58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0" xfId="0" applyNumberFormat="1" applyBorder="1" applyAlignment="1">
      <alignment/>
    </xf>
    <xf numFmtId="165" fontId="2" fillId="27" borderId="15" xfId="58" applyNumberFormat="1" applyFont="1" applyFill="1" applyBorder="1" applyAlignment="1">
      <alignment horizontal="center"/>
    </xf>
    <xf numFmtId="169" fontId="2" fillId="27" borderId="10" xfId="0" applyNumberFormat="1" applyFont="1" applyFill="1" applyBorder="1" applyAlignment="1">
      <alignment horizontal="center"/>
    </xf>
    <xf numFmtId="169" fontId="2" fillId="27" borderId="15" xfId="0" applyNumberFormat="1" applyFont="1" applyFill="1" applyBorder="1" applyAlignment="1">
      <alignment horizontal="center"/>
    </xf>
    <xf numFmtId="165" fontId="2" fillId="27" borderId="11" xfId="58" applyNumberFormat="1" applyFont="1" applyFill="1" applyBorder="1" applyAlignment="1">
      <alignment horizontal="center"/>
    </xf>
    <xf numFmtId="43" fontId="2" fillId="27" borderId="10" xfId="0" applyNumberFormat="1" applyFont="1" applyFill="1" applyBorder="1" applyAlignment="1">
      <alignment horizontal="center"/>
    </xf>
    <xf numFmtId="2" fontId="2" fillId="27" borderId="10" xfId="0" applyNumberFormat="1" applyFont="1" applyFill="1" applyBorder="1" applyAlignment="1">
      <alignment horizontal="center"/>
    </xf>
    <xf numFmtId="166" fontId="2" fillId="27" borderId="15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0" xfId="58" applyNumberFormat="1" applyFont="1" applyFill="1" applyBorder="1" applyAlignment="1">
      <alignment horizontal="left" indent="1"/>
    </xf>
    <xf numFmtId="164" fontId="2" fillId="0" borderId="13" xfId="0" applyNumberFormat="1" applyFont="1" applyFill="1" applyBorder="1" applyAlignment="1">
      <alignment/>
    </xf>
    <xf numFmtId="164" fontId="2" fillId="0" borderId="11" xfId="58" applyNumberFormat="1" applyFont="1" applyFill="1" applyBorder="1" applyAlignment="1">
      <alignment horizontal="left" indent="1"/>
    </xf>
    <xf numFmtId="164" fontId="2" fillId="0" borderId="13" xfId="58" applyNumberFormat="1" applyFont="1" applyFill="1" applyBorder="1" applyAlignment="1">
      <alignment horizontal="left" indent="1"/>
    </xf>
    <xf numFmtId="164" fontId="2" fillId="0" borderId="15" xfId="58" applyNumberFormat="1" applyFont="1" applyFill="1" applyBorder="1" applyAlignment="1">
      <alignment horizontal="left" indent="1"/>
    </xf>
    <xf numFmtId="164" fontId="2" fillId="0" borderId="11" xfId="58" applyNumberFormat="1" applyFont="1" applyFill="1" applyBorder="1" applyAlignment="1">
      <alignment horizontal="center"/>
    </xf>
    <xf numFmtId="164" fontId="2" fillId="0" borderId="10" xfId="58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0" fontId="17" fillId="0" borderId="15" xfId="0" applyFont="1" applyBorder="1" applyAlignment="1">
      <alignment horizontal="center" vertical="center"/>
    </xf>
    <xf numFmtId="165" fontId="2" fillId="27" borderId="10" xfId="58" applyNumberFormat="1" applyFont="1" applyFill="1" applyBorder="1" applyAlignment="1">
      <alignment vertical="top" wrapText="1"/>
    </xf>
    <xf numFmtId="165" fontId="0" fillId="0" borderId="15" xfId="58" applyNumberFormat="1" applyFont="1" applyFill="1" applyBorder="1" applyAlignment="1">
      <alignment horizontal="left" indent="1"/>
    </xf>
    <xf numFmtId="165" fontId="0" fillId="0" borderId="10" xfId="58" applyNumberFormat="1" applyFont="1" applyFill="1" applyBorder="1" applyAlignment="1">
      <alignment horizontal="left" indent="1"/>
    </xf>
    <xf numFmtId="165" fontId="0" fillId="0" borderId="11" xfId="58" applyNumberFormat="1" applyFont="1" applyFill="1" applyBorder="1" applyAlignment="1">
      <alignment horizontal="center"/>
    </xf>
    <xf numFmtId="4" fontId="0" fillId="27" borderId="0" xfId="0" applyNumberFormat="1" applyFont="1" applyFill="1" applyBorder="1" applyAlignment="1">
      <alignment/>
    </xf>
    <xf numFmtId="165" fontId="2" fillId="11" borderId="10" xfId="58" applyNumberFormat="1" applyFont="1" applyFill="1" applyBorder="1" applyAlignment="1">
      <alignment/>
    </xf>
    <xf numFmtId="165" fontId="2" fillId="11" borderId="10" xfId="58" applyNumberFormat="1" applyFont="1" applyFill="1" applyBorder="1" applyAlignment="1">
      <alignment horizontal="right"/>
    </xf>
    <xf numFmtId="3" fontId="2" fillId="11" borderId="10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 vertical="center" textRotation="90" wrapText="1"/>
    </xf>
    <xf numFmtId="0" fontId="0" fillId="0" borderId="11" xfId="0" applyNumberForma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1" fillId="0" borderId="10" xfId="58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25" borderId="11" xfId="0" applyFill="1" applyBorder="1" applyAlignment="1">
      <alignment horizontal="left"/>
    </xf>
    <xf numFmtId="0" fontId="0" fillId="25" borderId="15" xfId="0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textRotation="90" wrapText="1"/>
    </xf>
    <xf numFmtId="0" fontId="15" fillId="27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8" fillId="27" borderId="11" xfId="0" applyFont="1" applyFill="1" applyBorder="1" applyAlignment="1">
      <alignment vertical="top" wrapText="1"/>
    </xf>
    <xf numFmtId="0" fontId="8" fillId="27" borderId="15" xfId="0" applyFont="1" applyFill="1" applyBorder="1" applyAlignment="1">
      <alignment vertical="top" wrapText="1"/>
    </xf>
    <xf numFmtId="0" fontId="13" fillId="27" borderId="10" xfId="0" applyFont="1" applyFill="1" applyBorder="1" applyAlignment="1">
      <alignment vertical="top" wrapText="1"/>
    </xf>
    <xf numFmtId="0" fontId="1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0" fontId="9" fillId="27" borderId="11" xfId="0" applyFont="1" applyFill="1" applyBorder="1" applyAlignment="1">
      <alignment horizontal="center" vertical="center" wrapText="1"/>
    </xf>
    <xf numFmtId="0" fontId="9" fillId="27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27" borderId="0" xfId="0" applyFont="1" applyFill="1" applyBorder="1" applyAlignment="1">
      <alignment horizontal="center" wrapText="1"/>
    </xf>
    <xf numFmtId="0" fontId="0" fillId="27" borderId="16" xfId="0" applyNumberFormat="1" applyFill="1" applyBorder="1" applyAlignment="1">
      <alignment horizontal="center" vertical="center" textRotation="90" wrapText="1"/>
    </xf>
    <xf numFmtId="0" fontId="0" fillId="27" borderId="16" xfId="0" applyFill="1" applyBorder="1" applyAlignment="1">
      <alignment horizontal="center" vertical="center" textRotation="90" wrapText="1"/>
    </xf>
    <xf numFmtId="0" fontId="0" fillId="27" borderId="15" xfId="0" applyFill="1" applyBorder="1" applyAlignment="1">
      <alignment horizontal="center" vertical="center" textRotation="90" wrapText="1"/>
    </xf>
    <xf numFmtId="165" fontId="16" fillId="27" borderId="10" xfId="58" applyNumberFormat="1" applyFont="1" applyFill="1" applyBorder="1" applyAlignment="1">
      <alignment horizontal="center" vertical="center" wrapText="1"/>
    </xf>
    <xf numFmtId="0" fontId="0" fillId="27" borderId="11" xfId="0" applyNumberFormat="1" applyFill="1" applyBorder="1" applyAlignment="1">
      <alignment horizontal="center" vertical="center" textRotation="90" wrapText="1"/>
    </xf>
    <xf numFmtId="0" fontId="0" fillId="27" borderId="12" xfId="0" applyFill="1" applyBorder="1" applyAlignment="1">
      <alignment horizontal="center"/>
    </xf>
    <xf numFmtId="0" fontId="0" fillId="27" borderId="14" xfId="0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1" fillId="27" borderId="10" xfId="0" applyFont="1" applyFill="1" applyBorder="1" applyAlignment="1">
      <alignment horizontal="center" vertical="center" wrapText="1"/>
    </xf>
    <xf numFmtId="0" fontId="3" fillId="27" borderId="0" xfId="0" applyFont="1" applyFill="1" applyBorder="1" applyAlignment="1" applyProtection="1">
      <alignment horizontal="center" vertical="center" wrapText="1"/>
      <protection locked="0"/>
    </xf>
    <xf numFmtId="0" fontId="1" fillId="27" borderId="11" xfId="0" applyFont="1" applyFill="1" applyBorder="1" applyAlignment="1">
      <alignment horizontal="center" vertical="center" wrapText="1"/>
    </xf>
    <xf numFmtId="0" fontId="1" fillId="27" borderId="16" xfId="0" applyFont="1" applyFill="1" applyBorder="1" applyAlignment="1">
      <alignment horizontal="center" vertical="center" wrapText="1"/>
    </xf>
    <xf numFmtId="0" fontId="1" fillId="27" borderId="15" xfId="0" applyFont="1" applyFill="1" applyBorder="1" applyAlignment="1">
      <alignment horizontal="center" vertical="center" wrapText="1"/>
    </xf>
    <xf numFmtId="0" fontId="1" fillId="27" borderId="12" xfId="0" applyFont="1" applyFill="1" applyBorder="1" applyAlignment="1">
      <alignment horizontal="center" vertical="center" wrapText="1"/>
    </xf>
    <xf numFmtId="0" fontId="1" fillId="27" borderId="13" xfId="0" applyFont="1" applyFill="1" applyBorder="1" applyAlignment="1">
      <alignment horizontal="center" vertical="center" wrapText="1"/>
    </xf>
    <xf numFmtId="0" fontId="1" fillId="27" borderId="14" xfId="0" applyFont="1" applyFill="1" applyBorder="1" applyAlignment="1">
      <alignment horizontal="center" vertical="center" wrapText="1"/>
    </xf>
    <xf numFmtId="0" fontId="1" fillId="27" borderId="21" xfId="0" applyFont="1" applyFill="1" applyBorder="1" applyAlignment="1">
      <alignment horizontal="center" vertical="center" wrapText="1"/>
    </xf>
    <xf numFmtId="0" fontId="1" fillId="27" borderId="30" xfId="0" applyFont="1" applyFill="1" applyBorder="1" applyAlignment="1">
      <alignment horizontal="center" vertical="center" wrapText="1"/>
    </xf>
    <xf numFmtId="0" fontId="1" fillId="27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91;&#1088;&#1082;&#1080;&#1085;\2007%20&#1075;&#1086;&#1076;\&#1050;%20&#1089;&#1077;&#1084;&#1080;&#1085;&#1072;&#1088;&#1091;%20&#1089;%20&#1075;&#1083;&#1072;&#1074;&#1072;&#1084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91;&#1088;&#1082;&#1080;&#1085;\2007%20&#1075;&#1086;&#1076;\&#1053;&#1044;&#1060;&#1051;%20&#1075;&#1088;&#1091;&#1087;&#1087;&#1080;&#1088;&#1086;&#1074;&#1082;&#1072;%20&#1087;&#1086;%20&#1079;&#1072;&#1088;&#1087;&#1083;&#1072;&#1090;&#10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91;&#1088;&#1082;&#1080;&#1085;\2007%20&#1075;&#1086;&#1076;\&#1091;&#1076;&#1077;&#1083;&#1100;&#1085;&#1099;&#1077;%20&#1087;&#1086;&#1082;&#1072;&#1079;&#1072;&#1090;&#1077;&#1083;&#1080;%20&#1087;&#1086;%20&#1045;&#1053;&#1042;&#104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91;&#1088;&#1082;&#1080;&#1085;\&#1059;&#1060;&#1040;&#1050;&#1054;&#1053;%20&#1087;&#1086;%20&#1057;&#1086;\&#1044;&#1072;&#1085;&#1085;&#1099;&#1077;%20&#1043;&#1047;&#1050;\2007\&#1047;&#1077;&#1084;&#1077;&#1083;&#1100;&#1085;&#1099;&#1081;%20&#1085;&#1072;&#1083;&#1086;&#1075;%20&#1087;&#1086;%20&#1076;&#1072;&#1085;&#1085;&#1099;&#1084;%20&#1059;&#1060;&#1040;&#1050;&#1054;&#1053;%20&#1085;&#1072;%2001-05-20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91;&#1088;&#1082;&#1080;&#1085;\&#1054;%20&#1058;%20&#1055;%20&#1059;%20&#1057;%20&#1050;\&#1050;%20&#1089;&#1077;&#1084;&#1080;&#1085;&#1072;&#1088;&#1091;%20&#1089;%20&#1075;&#1083;&#1072;&#1074;&#1072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 земли"/>
      <sheetName val="на 01.05.07"/>
      <sheetName val="2006"/>
      <sheetName val="По группам"/>
      <sheetName val="Имущ.ФЛ"/>
      <sheetName val="на 01.05.07. имущ"/>
      <sheetName val="2006 им."/>
      <sheetName val="По группам имущФЛ"/>
      <sheetName val="По группам ИмФЛ (2 вариант)"/>
      <sheetName val="Лист1"/>
    </sheetNames>
    <sheetDataSet>
      <sheetData sheetId="2">
        <row r="8">
          <cell r="F8">
            <v>550935861.62</v>
          </cell>
          <cell r="H8">
            <v>83579.36</v>
          </cell>
        </row>
      </sheetData>
      <sheetData sheetId="8">
        <row r="4">
          <cell r="Q4">
            <v>49728.77218329402</v>
          </cell>
        </row>
        <row r="5">
          <cell r="Q5">
            <v>32706.591517306148</v>
          </cell>
        </row>
        <row r="6">
          <cell r="Q6">
            <v>6344.13926380611</v>
          </cell>
        </row>
        <row r="7">
          <cell r="Q7">
            <v>3033.3317588455625</v>
          </cell>
        </row>
        <row r="9">
          <cell r="Q9">
            <v>3080.649591720175</v>
          </cell>
        </row>
        <row r="10">
          <cell r="Q10">
            <v>2740.2538792277455</v>
          </cell>
        </row>
        <row r="11">
          <cell r="Q11">
            <v>3566.4061029349855</v>
          </cell>
        </row>
        <row r="12">
          <cell r="Q12">
            <v>4616.242672671498</v>
          </cell>
        </row>
        <row r="13">
          <cell r="Q13">
            <v>959.5434658559273</v>
          </cell>
        </row>
        <row r="14">
          <cell r="Q14">
            <v>562.9597192639375</v>
          </cell>
        </row>
        <row r="16">
          <cell r="Q16">
            <v>3136.945789330216</v>
          </cell>
        </row>
        <row r="17">
          <cell r="Q17">
            <v>304.7681357526953</v>
          </cell>
        </row>
        <row r="18">
          <cell r="Q18">
            <v>0</v>
          </cell>
        </row>
        <row r="19">
          <cell r="Q19">
            <v>602.2858749577867</v>
          </cell>
        </row>
        <row r="20">
          <cell r="Q20">
            <v>2067.646903165779</v>
          </cell>
        </row>
        <row r="21">
          <cell r="Q21">
            <v>466.2553332008486</v>
          </cell>
        </row>
        <row r="23">
          <cell r="Q23">
            <v>1506.328470457753</v>
          </cell>
        </row>
        <row r="24">
          <cell r="Q24">
            <v>682.7002531952295</v>
          </cell>
        </row>
        <row r="25">
          <cell r="Q25">
            <v>539.7662041753342</v>
          </cell>
        </row>
        <row r="26">
          <cell r="Q26">
            <v>1582.6971463076657</v>
          </cell>
        </row>
        <row r="27">
          <cell r="Q27">
            <v>437.1945893576032</v>
          </cell>
        </row>
        <row r="28">
          <cell r="Q28">
            <v>239.10060564019454</v>
          </cell>
        </row>
        <row r="29">
          <cell r="Q29">
            <v>570.8018413391735</v>
          </cell>
        </row>
        <row r="31">
          <cell r="Q31">
            <v>817.7033126179438</v>
          </cell>
        </row>
        <row r="32">
          <cell r="Q32">
            <v>1298.3642925827166</v>
          </cell>
        </row>
        <row r="33">
          <cell r="Q33">
            <v>204.79369351261607</v>
          </cell>
        </row>
        <row r="34">
          <cell r="Q34">
            <v>336.85672637967934</v>
          </cell>
        </row>
        <row r="35">
          <cell r="Q35">
            <v>957.8508699239832</v>
          </cell>
        </row>
        <row r="36">
          <cell r="Q36">
            <v>675.4020152842621</v>
          </cell>
        </row>
        <row r="37">
          <cell r="Q37">
            <v>499.6013542623337</v>
          </cell>
        </row>
        <row r="38">
          <cell r="Q38">
            <v>990.7088914234183</v>
          </cell>
        </row>
        <row r="39">
          <cell r="Q39">
            <v>317.0233435105933</v>
          </cell>
        </row>
        <row r="40">
          <cell r="Q40">
            <v>73.08372265822777</v>
          </cell>
        </row>
        <row r="41">
          <cell r="Q41">
            <v>302.14688617438344</v>
          </cell>
        </row>
        <row r="42">
          <cell r="Q42">
            <v>372.36232218122666</v>
          </cell>
        </row>
        <row r="43">
          <cell r="Q43">
            <v>509.18615088304193</v>
          </cell>
        </row>
        <row r="44">
          <cell r="Q44">
            <v>550.6110745335332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 целом м.о."/>
      <sheetName val="районы"/>
      <sheetName val="Анализ НДФЛ 06"/>
      <sheetName val="Анализ 2 НДФЛ +резерв"/>
      <sheetName val="группировка по ЗП"/>
      <sheetName val="на душу населения"/>
    </sheetNames>
    <sheetDataSet>
      <sheetData sheetId="4">
        <row r="6">
          <cell r="AD6">
            <v>333171.225</v>
          </cell>
        </row>
        <row r="7">
          <cell r="AD7">
            <v>112761.95475184964</v>
          </cell>
        </row>
        <row r="9">
          <cell r="AD9">
            <v>0</v>
          </cell>
        </row>
        <row r="10">
          <cell r="AD10">
            <v>25661.422501759982</v>
          </cell>
        </row>
        <row r="12">
          <cell r="AD12">
            <v>53056.912910000065</v>
          </cell>
        </row>
        <row r="13">
          <cell r="AD13">
            <v>38649.71190000001</v>
          </cell>
        </row>
        <row r="14">
          <cell r="AD14">
            <v>20990.87759999999</v>
          </cell>
        </row>
        <row r="15">
          <cell r="AD15">
            <v>0</v>
          </cell>
        </row>
        <row r="16">
          <cell r="AD16">
            <v>23898.282000000003</v>
          </cell>
        </row>
        <row r="17">
          <cell r="AD17">
            <v>32017.399940000003</v>
          </cell>
        </row>
        <row r="18">
          <cell r="AD18">
            <v>9470.753139999992</v>
          </cell>
        </row>
        <row r="19">
          <cell r="AD19">
            <v>31723.009479999997</v>
          </cell>
        </row>
        <row r="21">
          <cell r="AD21">
            <v>29546.936799999992</v>
          </cell>
        </row>
        <row r="22">
          <cell r="AD22">
            <v>1558.965698519998</v>
          </cell>
        </row>
        <row r="23">
          <cell r="AD23">
            <v>2492.516403020003</v>
          </cell>
        </row>
        <row r="24">
          <cell r="AD24">
            <v>12073.50018</v>
          </cell>
        </row>
        <row r="25">
          <cell r="AD25">
            <v>35698.826</v>
          </cell>
        </row>
        <row r="26">
          <cell r="AD26">
            <v>8388.06215</v>
          </cell>
        </row>
        <row r="28">
          <cell r="AD28">
            <v>5203.36031</v>
          </cell>
        </row>
        <row r="29">
          <cell r="AD29">
            <v>3403.9839999999986</v>
          </cell>
        </row>
        <row r="30">
          <cell r="AD30">
            <v>3417.263579999998</v>
          </cell>
        </row>
        <row r="31">
          <cell r="AD31">
            <v>5362.550830000001</v>
          </cell>
        </row>
        <row r="32">
          <cell r="AD32">
            <v>10558.23152</v>
          </cell>
        </row>
        <row r="33">
          <cell r="AD33">
            <v>3065.958830000001</v>
          </cell>
        </row>
        <row r="34">
          <cell r="AD34">
            <v>3886.3980700000016</v>
          </cell>
        </row>
        <row r="35">
          <cell r="AD35">
            <v>358.3407999999904</v>
          </cell>
        </row>
        <row r="36">
          <cell r="AD36">
            <v>2280.3592100000005</v>
          </cell>
        </row>
        <row r="37">
          <cell r="AD37">
            <v>600.3912469699972</v>
          </cell>
        </row>
        <row r="38">
          <cell r="AD38">
            <v>3140.9410868800005</v>
          </cell>
        </row>
        <row r="39">
          <cell r="AD39">
            <v>4816.51622</v>
          </cell>
        </row>
        <row r="40">
          <cell r="AD40">
            <v>5278.116619999998</v>
          </cell>
        </row>
        <row r="41">
          <cell r="AD41">
            <v>6476.401789999999</v>
          </cell>
        </row>
        <row r="42">
          <cell r="AD42">
            <v>5872.28557</v>
          </cell>
        </row>
        <row r="43">
          <cell r="AD43">
            <v>5435.9135099999985</v>
          </cell>
        </row>
        <row r="44">
          <cell r="AD44">
            <v>5177.78349</v>
          </cell>
        </row>
        <row r="45">
          <cell r="AD45">
            <v>5480.31185</v>
          </cell>
        </row>
        <row r="46">
          <cell r="AD46">
            <v>4150.63186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6 категории"/>
      <sheetName val="резервы ЕНВД"/>
      <sheetName val="по категориям"/>
      <sheetName val="анализ 2006"/>
      <sheetName val="Лист1"/>
      <sheetName val="Лист2"/>
      <sheetName val="Диаграмма3"/>
      <sheetName val="Города"/>
      <sheetName val="Диаграмма4"/>
      <sheetName val="Районы"/>
      <sheetName val="Диаграмма5"/>
      <sheetName val="К2 города"/>
      <sheetName val="Диаграмма6"/>
      <sheetName val="К2 районы"/>
      <sheetName val="Диаграмма1"/>
      <sheetName val="рост поступл"/>
    </sheetNames>
    <sheetDataSet>
      <sheetData sheetId="0">
        <row r="4">
          <cell r="H4">
            <v>0</v>
          </cell>
        </row>
        <row r="5">
          <cell r="H5">
            <v>57424.22999999998</v>
          </cell>
        </row>
        <row r="6">
          <cell r="H6">
            <v>0</v>
          </cell>
        </row>
        <row r="7">
          <cell r="H7">
            <v>11145.547999999999</v>
          </cell>
        </row>
        <row r="8">
          <cell r="H8">
            <v>730.8240000000005</v>
          </cell>
        </row>
        <row r="9">
          <cell r="H9">
            <v>0</v>
          </cell>
        </row>
        <row r="10">
          <cell r="H10">
            <v>1284.1239999999998</v>
          </cell>
        </row>
        <row r="11">
          <cell r="H11">
            <v>1093.7189999999991</v>
          </cell>
        </row>
        <row r="12">
          <cell r="H12">
            <v>684.1409999999996</v>
          </cell>
        </row>
        <row r="13">
          <cell r="H13">
            <v>6305.360000000001</v>
          </cell>
        </row>
        <row r="14">
          <cell r="H14">
            <v>0</v>
          </cell>
        </row>
        <row r="15">
          <cell r="H15">
            <v>3505.2200000000003</v>
          </cell>
        </row>
        <row r="16">
          <cell r="H16">
            <v>690.94</v>
          </cell>
        </row>
        <row r="17">
          <cell r="H17">
            <v>852.48</v>
          </cell>
        </row>
        <row r="18">
          <cell r="H18">
            <v>1748.88</v>
          </cell>
        </row>
        <row r="19">
          <cell r="H19">
            <v>115.70000000000073</v>
          </cell>
        </row>
        <row r="20">
          <cell r="H20">
            <v>808.1599999999999</v>
          </cell>
        </row>
        <row r="21">
          <cell r="H21">
            <v>280.4400000000005</v>
          </cell>
        </row>
        <row r="22">
          <cell r="H22">
            <v>2470.54</v>
          </cell>
        </row>
        <row r="23">
          <cell r="H23">
            <v>967.1599999999999</v>
          </cell>
        </row>
        <row r="24">
          <cell r="H24">
            <v>922.038</v>
          </cell>
        </row>
        <row r="25">
          <cell r="H25">
            <v>937.9880000000003</v>
          </cell>
        </row>
        <row r="26">
          <cell r="H26">
            <v>573.9929999999999</v>
          </cell>
        </row>
        <row r="27">
          <cell r="H27">
            <v>0</v>
          </cell>
        </row>
        <row r="28">
          <cell r="H28">
            <v>406.60300000000007</v>
          </cell>
        </row>
        <row r="29">
          <cell r="H29">
            <v>1815.5320000000002</v>
          </cell>
        </row>
        <row r="30">
          <cell r="H30">
            <v>836.279</v>
          </cell>
        </row>
        <row r="31">
          <cell r="H31">
            <v>3965.99</v>
          </cell>
        </row>
        <row r="32">
          <cell r="H32">
            <v>1287.6650000000009</v>
          </cell>
        </row>
        <row r="33">
          <cell r="H33">
            <v>966.8490000000002</v>
          </cell>
        </row>
        <row r="34">
          <cell r="H34">
            <v>1603.536</v>
          </cell>
        </row>
        <row r="35">
          <cell r="H35">
            <v>1221.257</v>
          </cell>
        </row>
        <row r="36">
          <cell r="H36">
            <v>2756.062</v>
          </cell>
        </row>
        <row r="37">
          <cell r="H37">
            <v>896.9589999999998</v>
          </cell>
        </row>
        <row r="38">
          <cell r="H38">
            <v>1223.951</v>
          </cell>
        </row>
        <row r="39">
          <cell r="H39">
            <v>946.578</v>
          </cell>
        </row>
        <row r="40">
          <cell r="H40">
            <v>712.7869999999998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ому БО"/>
      <sheetName val="Александрову"/>
      <sheetName val="Лист2"/>
      <sheetName val="с данными терр отделений"/>
      <sheetName val="Таблица для Ширяевой"/>
      <sheetName val="Лист5"/>
      <sheetName val="ИТОГ"/>
      <sheetName val="Самара"/>
      <sheetName val="Жигулевск"/>
      <sheetName val="Кинель"/>
      <sheetName val="Новокуйбышевск"/>
      <sheetName val="Октябрьск"/>
      <sheetName val="Отрадный"/>
      <sheetName val="Похвистнево"/>
      <sheetName val="Сызрань"/>
      <sheetName val="Тольятти"/>
      <sheetName val="Чапаевск"/>
      <sheetName val="Алексеевский"/>
      <sheetName val="Безенчукский"/>
      <sheetName val="Богатовский"/>
      <sheetName val="Большеглушицкий"/>
      <sheetName val="Большечерниговский"/>
      <sheetName val="Борский"/>
      <sheetName val="Волжский"/>
      <sheetName val="Елховский"/>
      <sheetName val="Исаклинский"/>
      <sheetName val="Камышлинский"/>
      <sheetName val="Клявлинский"/>
      <sheetName val="Кинельский"/>
      <sheetName val="Кинель-Черкасский"/>
      <sheetName val="Кошкинский"/>
      <sheetName val="Красноармейский"/>
      <sheetName val="Красноярский"/>
      <sheetName val="Нефтегорский"/>
      <sheetName val="Пестравский"/>
      <sheetName val="Похвистневский"/>
      <sheetName val="Приволжский"/>
      <sheetName val="Сергиевский"/>
      <sheetName val="Ставропольский"/>
      <sheetName val="Сызранский"/>
      <sheetName val="Хворостянский"/>
      <sheetName val="Челно-Вершинский"/>
      <sheetName val="Шенталинский"/>
      <sheetName val="Шигонский"/>
      <sheetName val="Лист1"/>
    </sheetNames>
    <sheetDataSet>
      <sheetData sheetId="3">
        <row r="7">
          <cell r="F7">
            <v>2912998273.1331344</v>
          </cell>
          <cell r="G7">
            <v>726656161.0221343</v>
          </cell>
        </row>
        <row r="9">
          <cell r="F9">
            <v>40711807.35191105</v>
          </cell>
          <cell r="G9">
            <v>10563992.995911054</v>
          </cell>
        </row>
        <row r="10">
          <cell r="F10">
            <v>135777546.4669936</v>
          </cell>
          <cell r="G10">
            <v>81326212.2079936</v>
          </cell>
        </row>
        <row r="11">
          <cell r="F11">
            <v>7216590.537473158</v>
          </cell>
          <cell r="G11">
            <v>13480.902473158203</v>
          </cell>
        </row>
        <row r="12">
          <cell r="F12">
            <v>18680665.460231803</v>
          </cell>
          <cell r="G12">
            <v>5784125.885231804</v>
          </cell>
        </row>
        <row r="13">
          <cell r="F13">
            <v>14165461.228174292</v>
          </cell>
          <cell r="G13">
            <v>2943095.230174292</v>
          </cell>
        </row>
        <row r="14">
          <cell r="F14">
            <v>128859244.6275191</v>
          </cell>
          <cell r="G14">
            <v>20367551.7735191</v>
          </cell>
        </row>
        <row r="15">
          <cell r="F15">
            <v>1495684664.7938933</v>
          </cell>
          <cell r="G15">
            <v>344535615.7328932</v>
          </cell>
        </row>
        <row r="18">
          <cell r="F18">
            <v>14089652.19565275</v>
          </cell>
          <cell r="G18">
            <v>4348078.202652751</v>
          </cell>
        </row>
        <row r="23">
          <cell r="F23">
            <v>52487349.420077756</v>
          </cell>
          <cell r="G23">
            <v>22878305.942897756</v>
          </cell>
        </row>
        <row r="27">
          <cell r="F27">
            <v>1855748.9414306444</v>
          </cell>
          <cell r="G27">
            <v>528391.5464306443</v>
          </cell>
        </row>
        <row r="29">
          <cell r="F29">
            <v>10809225.84112156</v>
          </cell>
          <cell r="G29">
            <v>3759599.75512156</v>
          </cell>
        </row>
        <row r="31">
          <cell r="F31">
            <v>10366242.881192598</v>
          </cell>
          <cell r="G31">
            <v>1765564.5081925988</v>
          </cell>
        </row>
        <row r="33">
          <cell r="F33">
            <v>6271968.698881046</v>
          </cell>
          <cell r="G33">
            <v>929922.329881046</v>
          </cell>
        </row>
        <row r="34">
          <cell r="F34">
            <v>3523484.991878806</v>
          </cell>
          <cell r="G34">
            <v>1382078.1128788064</v>
          </cell>
        </row>
        <row r="36">
          <cell r="F36">
            <v>4277621.880058034</v>
          </cell>
          <cell r="G36">
            <v>2147411.958058034</v>
          </cell>
        </row>
        <row r="37">
          <cell r="F37">
            <v>6349133.580062095</v>
          </cell>
          <cell r="G37">
            <v>748334.4870620947</v>
          </cell>
        </row>
        <row r="38">
          <cell r="F38">
            <v>70964507.64974867</v>
          </cell>
          <cell r="G38">
            <v>10980061.03274867</v>
          </cell>
        </row>
        <row r="39">
          <cell r="F39">
            <v>19485554.572467674</v>
          </cell>
          <cell r="G39">
            <v>9026393.620467674</v>
          </cell>
        </row>
        <row r="43">
          <cell r="F43">
            <v>26867179.063006952</v>
          </cell>
          <cell r="G43">
            <v>4650808.048006952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 земли"/>
      <sheetName val="на 01.05.07"/>
      <sheetName val="2006"/>
      <sheetName val="По группам"/>
      <sheetName val="Имущ.ФЛ"/>
      <sheetName val="на 01.05.07. имущ"/>
      <sheetName val="2006 им."/>
      <sheetName val="По группам имущФЛ"/>
      <sheetName val="По группам ИмФЛ (2 вариант)"/>
      <sheetName val="Лист1"/>
    </sheetNames>
    <sheetDataSet>
      <sheetData sheetId="1">
        <row r="31">
          <cell r="H31">
            <v>53340</v>
          </cell>
        </row>
      </sheetData>
      <sheetData sheetId="5">
        <row r="16">
          <cell r="B16">
            <v>82511.93</v>
          </cell>
        </row>
        <row r="35">
          <cell r="C35">
            <v>16107.73</v>
          </cell>
          <cell r="D35">
            <v>16107.86</v>
          </cell>
        </row>
      </sheetData>
      <sheetData sheetId="6">
        <row r="15">
          <cell r="D15">
            <v>29141</v>
          </cell>
        </row>
        <row r="34">
          <cell r="D34">
            <v>29165</v>
          </cell>
        </row>
      </sheetData>
      <sheetData sheetId="7">
        <row r="46">
          <cell r="E46">
            <v>13970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C13">
      <selection activeCell="D20" sqref="D20"/>
    </sheetView>
  </sheetViews>
  <sheetFormatPr defaultColWidth="9.00390625" defaultRowHeight="12.75"/>
  <cols>
    <col min="1" max="1" width="25.625" style="0" bestFit="1" customWidth="1"/>
    <col min="2" max="2" width="23.00390625" style="0" customWidth="1"/>
    <col min="3" max="3" width="18.25390625" style="0" customWidth="1"/>
    <col min="4" max="4" width="18.375" style="0" customWidth="1"/>
    <col min="5" max="5" width="18.25390625" style="0" customWidth="1"/>
    <col min="6" max="6" width="18.375" style="0" customWidth="1"/>
    <col min="7" max="7" width="14.625" style="0" customWidth="1"/>
  </cols>
  <sheetData>
    <row r="1" spans="1:3" ht="15.75">
      <c r="A1" s="93"/>
      <c r="C1" s="96" t="s">
        <v>115</v>
      </c>
    </row>
    <row r="2" spans="1:7" ht="12.75">
      <c r="A2" s="370" t="s">
        <v>0</v>
      </c>
      <c r="B2" s="371" t="s">
        <v>1</v>
      </c>
      <c r="C2" s="371"/>
      <c r="D2" s="371"/>
      <c r="E2" s="371"/>
      <c r="F2" s="371"/>
      <c r="G2" s="2"/>
    </row>
    <row r="3" spans="1:7" s="3" customFormat="1" ht="25.5">
      <c r="A3" s="370"/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12.75">
      <c r="A4" s="2" t="s">
        <v>8</v>
      </c>
      <c r="B4" s="4">
        <f>'[1]По группам ИмФЛ (2 вариант)'!$Q$4</f>
        <v>49728.77218329402</v>
      </c>
      <c r="C4" s="4">
        <f>('[4]с данными терр отделений'!$F$7-'[4]с данными терр отделений'!$G$7-'Поступление на 01.07.07'!M7)/1000</f>
        <v>1021081.8121110001</v>
      </c>
      <c r="D4" s="4">
        <f>'[2]группировка по ЗП'!$AD$6</f>
        <v>333171.225</v>
      </c>
      <c r="E4" s="4">
        <f>'[3]2006 категории'!$H$4</f>
        <v>0</v>
      </c>
      <c r="F4" s="4">
        <f>'Аренда зем уч'!T6</f>
        <v>509550.04539711494</v>
      </c>
      <c r="G4" s="5">
        <f>SUM(B4:F4)</f>
        <v>1913531.854691409</v>
      </c>
    </row>
    <row r="5" spans="1:7" ht="12.75">
      <c r="A5" s="2" t="s">
        <v>9</v>
      </c>
      <c r="B5" s="4">
        <f>'[1]По группам ИмФЛ (2 вариант)'!$Q$11</f>
        <v>3566.4061029349855</v>
      </c>
      <c r="C5" s="4"/>
      <c r="D5" s="4">
        <f>'[2]группировка по ЗП'!$AD$13</f>
        <v>38649.71190000001</v>
      </c>
      <c r="E5" s="4">
        <f>'[3]2006 категории'!$H$14</f>
        <v>0</v>
      </c>
      <c r="F5" s="4">
        <f>'Аренда зем уч'!T13</f>
        <v>0</v>
      </c>
      <c r="G5" s="5">
        <f aca="true" t="shared" si="0" ref="G5:G40">SUM(B5:F5)</f>
        <v>42216.11800293499</v>
      </c>
    </row>
    <row r="6" spans="1:7" ht="12.75">
      <c r="A6" s="2" t="s">
        <v>10</v>
      </c>
      <c r="B6" s="4">
        <f>'[1]По группам ИмФЛ (2 вариант)'!$Q$13</f>
        <v>959.5434658559273</v>
      </c>
      <c r="C6" s="4">
        <f>('[4]с данными терр отделений'!$F$9-'[4]с данными терр отделений'!$G$9-'Поступление на 01.07.07'!M15)/1000</f>
        <v>12173.814355999999</v>
      </c>
      <c r="D6" s="4">
        <f>'[2]группировка по ЗП'!$AD$14</f>
        <v>20990.87759999999</v>
      </c>
      <c r="E6" s="4">
        <f>'[3]2006 категории'!$H$11</f>
        <v>1093.7189999999991</v>
      </c>
      <c r="F6" s="4">
        <f>'Аренда зем уч'!T15</f>
        <v>11287.064696160385</v>
      </c>
      <c r="G6" s="5">
        <f t="shared" si="0"/>
        <v>46505.0191180163</v>
      </c>
    </row>
    <row r="7" spans="1:7" ht="12.75">
      <c r="A7" s="2" t="s">
        <v>11</v>
      </c>
      <c r="B7" s="4">
        <f>'[1]По группам ИмФЛ (2 вариант)'!$Q$7</f>
        <v>3033.3317588455625</v>
      </c>
      <c r="C7" s="4">
        <f>('[4]с данными терр отделений'!$F$10-'[4]с данными терр отделений'!$G$10-'Поступление на 01.07.07'!M10)/1000</f>
        <v>38428.334259</v>
      </c>
      <c r="D7" s="4">
        <f>'[2]группировка по ЗП'!$AD$9</f>
        <v>0</v>
      </c>
      <c r="E7" s="4">
        <f>'[3]2006 категории'!$H$9</f>
        <v>0</v>
      </c>
      <c r="F7" s="4">
        <f>'Аренда зем уч'!T9</f>
        <v>286175.0604431886</v>
      </c>
      <c r="G7" s="5">
        <f t="shared" si="0"/>
        <v>327636.72646103415</v>
      </c>
    </row>
    <row r="8" spans="1:7" ht="12.75">
      <c r="A8" s="2" t="s">
        <v>12</v>
      </c>
      <c r="B8" s="4">
        <f>'[1]По группам ИмФЛ (2 вариант)'!$Q$12</f>
        <v>4616.242672671498</v>
      </c>
      <c r="C8" s="4">
        <f>('[4]с данными терр отделений'!$F$11-'[4]с данными терр отделений'!$G$11-'Поступление на 01.07.07'!M14)/1000</f>
        <v>853.1096349999998</v>
      </c>
      <c r="D8" s="4">
        <f>'[2]группировка по ЗП'!$AD$22</f>
        <v>1558.965698519998</v>
      </c>
      <c r="E8" s="4">
        <f>'[3]2006 категории'!$H$15</f>
        <v>3505.2200000000003</v>
      </c>
      <c r="F8" s="4">
        <f>'Аренда зем уч'!T14</f>
        <v>3318.2718867517783</v>
      </c>
      <c r="G8" s="5">
        <f t="shared" si="0"/>
        <v>13851.809892943274</v>
      </c>
    </row>
    <row r="9" spans="1:7" ht="12.75">
      <c r="A9" s="2" t="s">
        <v>13</v>
      </c>
      <c r="B9" s="4">
        <f>'[1]По группам ИмФЛ (2 вариант)'!$Q$10</f>
        <v>2740.2538792277455</v>
      </c>
      <c r="C9" s="4">
        <f>('[4]с данными терр отделений'!$F$12-'[4]с данными терр отделений'!$G$12-'Поступление на 01.07.07'!M12)/1000</f>
        <v>9926.539574999999</v>
      </c>
      <c r="D9" s="4">
        <f>'[2]группировка по ЗП'!$AD$10</f>
        <v>25661.422501759982</v>
      </c>
      <c r="E9" s="4">
        <f>'[3]2006 категории'!$H$10</f>
        <v>1284.1239999999998</v>
      </c>
      <c r="F9" s="4">
        <f>'Аренда зем уч'!T12</f>
        <v>0</v>
      </c>
      <c r="G9" s="5">
        <f t="shared" si="0"/>
        <v>39612.33995598773</v>
      </c>
    </row>
    <row r="10" spans="1:7" ht="12.75">
      <c r="A10" s="2" t="s">
        <v>14</v>
      </c>
      <c r="B10" s="4">
        <f>'[1]По группам ИмФЛ (2 вариант)'!$Q$14</f>
        <v>562.9597192639375</v>
      </c>
      <c r="C10" s="4">
        <f>('[4]с данными терр отделений'!$F$13-'[4]с данными терр отделений'!$G$13-'Поступление на 01.07.07'!M16)/1000</f>
        <v>2222.3659979999998</v>
      </c>
      <c r="D10" s="4">
        <f>'[2]группировка по ЗП'!$AD$23</f>
        <v>2492.516403020003</v>
      </c>
      <c r="E10" s="4">
        <f>'[3]2006 категории'!$H$12</f>
        <v>684.1409999999996</v>
      </c>
      <c r="F10" s="4">
        <f>'Аренда зем уч'!T16</f>
        <v>32519.45776806109</v>
      </c>
      <c r="G10" s="5">
        <f t="shared" si="0"/>
        <v>38481.44088834503</v>
      </c>
    </row>
    <row r="11" spans="1:7" ht="12.75">
      <c r="A11" s="2" t="s">
        <v>15</v>
      </c>
      <c r="B11" s="4">
        <f>'[1]По группам ИмФЛ (2 вариант)'!$Q$6</f>
        <v>6344.13926380611</v>
      </c>
      <c r="C11" s="4">
        <f>('[4]с данными терр отделений'!$F$14-'[4]с данными терр отделений'!$G$14-'Поступление на 01.07.07'!M9)/1000</f>
        <v>73061.69285400001</v>
      </c>
      <c r="D11" s="4">
        <f>'[2]группировка по ЗП'!$AD$12</f>
        <v>53056.912910000065</v>
      </c>
      <c r="E11" s="4">
        <f>'[3]2006 категории'!$H$6</f>
        <v>0</v>
      </c>
      <c r="F11" s="4">
        <f>'Аренда зем уч'!T8</f>
        <v>0</v>
      </c>
      <c r="G11" s="5">
        <f t="shared" si="0"/>
        <v>132462.74502780617</v>
      </c>
    </row>
    <row r="12" spans="1:7" ht="12.75">
      <c r="A12" s="2" t="s">
        <v>16</v>
      </c>
      <c r="B12" s="4">
        <f>'[1]По группам ИмФЛ (2 вариант)'!$Q$5</f>
        <v>32706.591517306148</v>
      </c>
      <c r="C12" s="4">
        <f>('[4]с данными терр отделений'!$F$15-'[4]с данными терр отделений'!$G$15-'Поступление на 01.07.07'!M8)/1000</f>
        <v>221149.0490610001</v>
      </c>
      <c r="D12" s="4">
        <f>'[2]группировка по ЗП'!$AD$7</f>
        <v>112761.95475184964</v>
      </c>
      <c r="E12" s="4">
        <f>'[3]2006 категории'!$H$5</f>
        <v>57424.22999999998</v>
      </c>
      <c r="F12" s="4">
        <f>'Аренда зем уч'!T7</f>
        <v>534034.0155271805</v>
      </c>
      <c r="G12" s="5">
        <f t="shared" si="0"/>
        <v>958075.8408573364</v>
      </c>
    </row>
    <row r="13" spans="1:7" ht="12.75">
      <c r="A13" s="2" t="s">
        <v>17</v>
      </c>
      <c r="B13" s="4">
        <f>'[1]По группам ИмФЛ (2 вариант)'!$Q$9</f>
        <v>3080.649591720175</v>
      </c>
      <c r="C13" s="4"/>
      <c r="D13" s="4">
        <f>'[2]группировка по ЗП'!$AD$21</f>
        <v>29546.936799999992</v>
      </c>
      <c r="E13" s="4">
        <f>'[3]2006 категории'!$H$13</f>
        <v>6305.360000000001</v>
      </c>
      <c r="F13" s="4">
        <f>'Аренда зем уч'!T11</f>
        <v>13595.326379074948</v>
      </c>
      <c r="G13" s="5">
        <f t="shared" si="0"/>
        <v>52528.27277079511</v>
      </c>
    </row>
    <row r="14" spans="1:7" ht="12.75">
      <c r="A14" s="2" t="s">
        <v>18</v>
      </c>
      <c r="B14" s="4">
        <f>'[1]По группам ИмФЛ (2 вариант)'!$Q$34</f>
        <v>336.85672637967934</v>
      </c>
      <c r="C14" s="4"/>
      <c r="D14" s="4">
        <f>'[2]группировка по ЗП'!$AD$28</f>
        <v>5203.36031</v>
      </c>
      <c r="E14" s="4">
        <f>'[3]2006 категории'!$H$24</f>
        <v>922.038</v>
      </c>
      <c r="F14" s="4">
        <f>'Аренда зем уч'!T33</f>
        <v>5652.773382257617</v>
      </c>
      <c r="G14" s="5">
        <f t="shared" si="0"/>
        <v>12115.028418637297</v>
      </c>
    </row>
    <row r="15" spans="1:7" ht="12.75">
      <c r="A15" s="2" t="s">
        <v>19</v>
      </c>
      <c r="B15" s="4">
        <f>'[1]По группам ИмФЛ (2 вариант)'!$Q$23</f>
        <v>1506.328470457753</v>
      </c>
      <c r="C15" s="4">
        <f>('[4]с данными терр отделений'!$F$18-'[4]с данными терр отделений'!$G$18-'Поступление на 01.07.07'!O18-'Поступление на 01.07.07'!Q18)/1000</f>
        <v>1676.5739929999988</v>
      </c>
      <c r="D15" s="4">
        <f>'[2]группировка по ЗП'!$AD$24</f>
        <v>12073.50018</v>
      </c>
      <c r="E15" s="4">
        <f>'[3]2006 категории'!$H$25</f>
        <v>937.9880000000003</v>
      </c>
      <c r="F15" s="4">
        <f>'Аренда зем уч'!T22</f>
        <v>12159.337010978206</v>
      </c>
      <c r="G15" s="5">
        <f t="shared" si="0"/>
        <v>28353.727654435956</v>
      </c>
    </row>
    <row r="16" spans="1:7" ht="12.75">
      <c r="A16" s="6" t="s">
        <v>20</v>
      </c>
      <c r="B16" s="4">
        <f>'[1]По группам ИмФЛ (2 вариант)'!$Q$24</f>
        <v>682.7002531952295</v>
      </c>
      <c r="C16" s="4"/>
      <c r="D16" s="4">
        <f>'[2]группировка по ЗП'!$AD$29</f>
        <v>3403.9839999999986</v>
      </c>
      <c r="E16" s="4">
        <f>'[3]2006 категории'!$H$26</f>
        <v>573.9929999999999</v>
      </c>
      <c r="F16" s="4">
        <f>'Аренда зем уч'!T23</f>
        <v>6959.763486044158</v>
      </c>
      <c r="G16" s="5">
        <f t="shared" si="0"/>
        <v>11620.440739239386</v>
      </c>
    </row>
    <row r="17" spans="1:7" ht="12.75">
      <c r="A17" s="6" t="s">
        <v>21</v>
      </c>
      <c r="B17" s="4">
        <f>'[1]По группам ИмФЛ (2 вариант)'!$Q$39</f>
        <v>317.0233435105933</v>
      </c>
      <c r="C17" s="4"/>
      <c r="D17" s="4">
        <f>'[2]группировка по ЗП'!$AD$30</f>
        <v>3417.263579999998</v>
      </c>
      <c r="E17" s="4">
        <f>'[3]2006 категории'!$H$27</f>
        <v>0</v>
      </c>
      <c r="F17" s="4">
        <f>'Аренда зем уч'!T34</f>
        <v>18247.145964169</v>
      </c>
      <c r="G17" s="5">
        <f t="shared" si="0"/>
        <v>21981.43288767959</v>
      </c>
    </row>
    <row r="18" spans="1:7" ht="12.75">
      <c r="A18" s="6" t="s">
        <v>22</v>
      </c>
      <c r="B18" s="4">
        <f>'[1]По группам ИмФЛ (2 вариант)'!$Q$40</f>
        <v>73.08372265822777</v>
      </c>
      <c r="C18" s="4"/>
      <c r="D18" s="4">
        <f>'[2]группировка по ЗП'!$AD$31</f>
        <v>5362.550830000001</v>
      </c>
      <c r="E18" s="4">
        <f>'[3]2006 категории'!$H$28</f>
        <v>406.60300000000007</v>
      </c>
      <c r="F18" s="4">
        <f>'Аренда зем уч'!T35</f>
        <v>24203.830852620365</v>
      </c>
      <c r="G18" s="5">
        <f t="shared" si="0"/>
        <v>30046.068405278595</v>
      </c>
    </row>
    <row r="19" spans="1:7" ht="12.75">
      <c r="A19" s="6" t="s">
        <v>23</v>
      </c>
      <c r="B19" s="4">
        <f>'[1]По группам ИмФЛ (2 вариант)'!$Q$25</f>
        <v>539.7662041753342</v>
      </c>
      <c r="C19" s="4"/>
      <c r="D19" s="4">
        <f>'[2]группировка по ЗП'!$AD$32</f>
        <v>10558.23152</v>
      </c>
      <c r="E19" s="4">
        <f>'[3]2006 категории'!$H$29</f>
        <v>1815.5320000000002</v>
      </c>
      <c r="F19" s="4">
        <f>'Аренда зем уч'!T24</f>
        <v>16328.131561567952</v>
      </c>
      <c r="G19" s="5">
        <f t="shared" si="0"/>
        <v>29241.661285743285</v>
      </c>
    </row>
    <row r="20" spans="1:7" ht="12.75">
      <c r="A20" s="6" t="s">
        <v>24</v>
      </c>
      <c r="B20" s="4">
        <f>'[1]По группам ИмФЛ (2 вариант)'!$Q$16</f>
        <v>3136.945789330216</v>
      </c>
      <c r="C20" s="4">
        <f>('[4]с данными терр отделений'!$F$23-'[4]с данными терр отделений'!$G$23-'Поступление на 01.07.07'!O23-'Поступление на 01.07.07'!Q23)/1000</f>
        <v>10512.043477180001</v>
      </c>
      <c r="D20" s="4">
        <f>'[2]группировка по ЗП'!$AD$15</f>
        <v>0</v>
      </c>
      <c r="E20" s="4">
        <f>'[3]2006 категории'!$H$7</f>
        <v>11145.547999999999</v>
      </c>
      <c r="F20" s="4">
        <f>'Аренда зем уч'!T18</f>
        <v>15012.107364470154</v>
      </c>
      <c r="G20" s="5">
        <f t="shared" si="0"/>
        <v>39806.64463098037</v>
      </c>
    </row>
    <row r="21" spans="1:7" ht="12.75">
      <c r="A21" s="6" t="s">
        <v>25</v>
      </c>
      <c r="B21" s="4">
        <f>'[1]По группам ИмФЛ (2 вариант)'!$Q$41</f>
        <v>302.14688617438344</v>
      </c>
      <c r="C21" s="4"/>
      <c r="D21" s="4">
        <f>'[2]группировка по ЗП'!$AD$33</f>
        <v>3065.958830000001</v>
      </c>
      <c r="E21" s="4">
        <f>'[3]2006 категории'!$H$16</f>
        <v>690.94</v>
      </c>
      <c r="F21" s="4">
        <f>'Аренда зем уч'!T46</f>
        <v>2176.382299851063</v>
      </c>
      <c r="G21" s="5">
        <f t="shared" si="0"/>
        <v>6235.4280160254475</v>
      </c>
    </row>
    <row r="22" spans="1:7" ht="12.75">
      <c r="A22" s="6" t="s">
        <v>26</v>
      </c>
      <c r="B22" s="4">
        <f>'[1]По группам ИмФЛ (2 вариант)'!$Q$42</f>
        <v>372.36232218122666</v>
      </c>
      <c r="C22" s="4"/>
      <c r="D22" s="4">
        <f>'[2]группировка по ЗП'!$AD$34</f>
        <v>3886.3980700000016</v>
      </c>
      <c r="E22" s="4">
        <f>'[3]2006 категории'!$H$17</f>
        <v>852.48</v>
      </c>
      <c r="F22" s="4">
        <f>'Аренда зем уч'!T36</f>
        <v>400.1419032290831</v>
      </c>
      <c r="G22" s="5">
        <f t="shared" si="0"/>
        <v>5511.382295410311</v>
      </c>
    </row>
    <row r="23" spans="1:7" ht="12.75">
      <c r="A23" s="6" t="s">
        <v>27</v>
      </c>
      <c r="B23" s="4">
        <f>'[1]По группам ИмФЛ (2 вариант)'!$Q$33</f>
        <v>204.79369351261607</v>
      </c>
      <c r="C23" s="4"/>
      <c r="D23" s="4">
        <f>'[2]группировка по ЗП'!$AD$39</f>
        <v>4816.51622</v>
      </c>
      <c r="E23" s="4">
        <f>'[3]2006 категории'!$H$30</f>
        <v>836.279</v>
      </c>
      <c r="F23" s="4">
        <f>'Аренда зем уч'!T39</f>
        <v>2860.2104637670245</v>
      </c>
      <c r="G23" s="5">
        <f t="shared" si="0"/>
        <v>8717.79937727964</v>
      </c>
    </row>
    <row r="24" spans="1:7" ht="12.75">
      <c r="A24" s="6" t="s">
        <v>28</v>
      </c>
      <c r="B24" s="4">
        <f>'[1]По группам ИмФЛ (2 вариант)'!$Q$43</f>
        <v>509.18615088304193</v>
      </c>
      <c r="C24" s="4">
        <f>('[4]с данными терр отделений'!$F$27-'[4]с данными терр отделений'!$G$27-'Поступление на 01.07.07'!O28-'Поступление на 01.07.07'!Q28)/1000</f>
        <v>303.357395</v>
      </c>
      <c r="D24" s="4">
        <f>'[2]группировка по ЗП'!$AD$36</f>
        <v>2280.3592100000005</v>
      </c>
      <c r="E24" s="4">
        <f>'[3]2006 категории'!$H$33</f>
        <v>966.8490000000002</v>
      </c>
      <c r="F24" s="4">
        <f>'Аренда зем уч'!T37</f>
        <v>474.82959777544403</v>
      </c>
      <c r="G24" s="5">
        <f t="shared" si="0"/>
        <v>4534.5813536584865</v>
      </c>
    </row>
    <row r="25" spans="1:7" ht="12.75">
      <c r="A25" s="6" t="s">
        <v>29</v>
      </c>
      <c r="B25" s="4">
        <f>'[1]По группам ИмФЛ (2 вариант)'!$Q$21</f>
        <v>466.2553332008486</v>
      </c>
      <c r="C25" s="4"/>
      <c r="D25" s="4">
        <f>'[2]группировка по ЗП'!$AD$16</f>
        <v>23898.282000000003</v>
      </c>
      <c r="E25" s="4">
        <f>'[3]2006 категории'!$H$31</f>
        <v>3965.99</v>
      </c>
      <c r="F25" s="4">
        <f>'Аренда зем уч'!T29</f>
        <v>12254.973491543065</v>
      </c>
      <c r="G25" s="5">
        <f t="shared" si="0"/>
        <v>40585.50082474392</v>
      </c>
    </row>
    <row r="26" spans="1:7" ht="12.75">
      <c r="A26" s="6" t="s">
        <v>30</v>
      </c>
      <c r="B26" s="4">
        <f>'[1]По группам ИмФЛ (2 вариант)'!$Q$26</f>
        <v>1582.6971463076657</v>
      </c>
      <c r="C26" s="4">
        <f>('[4]с данными терр отделений'!$F$29-'[4]с данными терр отделений'!$G$29-'Поступление на 01.07.07'!O27-'Поступление на 01.07.07'!Q27)/1000</f>
        <v>698.6260860000001</v>
      </c>
      <c r="D26" s="4">
        <f>'[2]группировка по ЗП'!$AD$35</f>
        <v>358.3407999999904</v>
      </c>
      <c r="E26" s="4">
        <f>'[3]2006 категории'!$H$32</f>
        <v>1287.6650000000009</v>
      </c>
      <c r="F26" s="4">
        <f>'Аренда зем уч'!T25</f>
        <v>44928.757516977974</v>
      </c>
      <c r="G26" s="5">
        <f t="shared" si="0"/>
        <v>48856.08654928563</v>
      </c>
    </row>
    <row r="27" spans="1:7" ht="12.75">
      <c r="A27" s="6" t="s">
        <v>31</v>
      </c>
      <c r="B27" s="4">
        <f>'[1]По группам ИмФЛ (2 вариант)'!$Q$44</f>
        <v>550.6110745335332</v>
      </c>
      <c r="C27" s="4"/>
      <c r="D27" s="4">
        <f>'[2]группировка по ЗП'!$AD$37</f>
        <v>600.3912469699972</v>
      </c>
      <c r="E27" s="4">
        <f>'[3]2006 категории'!$H$18</f>
        <v>1748.88</v>
      </c>
      <c r="F27" s="4">
        <f>'Аренда зем уч'!T38</f>
        <v>834.2960072919284</v>
      </c>
      <c r="G27" s="5">
        <f t="shared" si="0"/>
        <v>3734.1783287954586</v>
      </c>
    </row>
    <row r="28" spans="1:7" ht="12.75">
      <c r="A28" s="6" t="s">
        <v>32</v>
      </c>
      <c r="B28" s="4">
        <f>'[1]По группам ИмФЛ (2 вариант)'!$Q$27</f>
        <v>437.1945893576032</v>
      </c>
      <c r="C28" s="4">
        <f>('[4]с данными терр отделений'!$F$31-'[4]с данными терр отделений'!$G$31-'Поступление на 01.07.07'!O30-'Поступление на 01.07.07'!Q30)/1000</f>
        <v>4835.678373</v>
      </c>
      <c r="D28" s="4">
        <f>'[2]группировка по ЗП'!$AD$38</f>
        <v>3140.9410868800005</v>
      </c>
      <c r="E28" s="4">
        <f>'[3]2006 категории'!$H$34</f>
        <v>1603.536</v>
      </c>
      <c r="F28" s="4">
        <f>'Аренда зем уч'!T26</f>
        <v>14180.034664292345</v>
      </c>
      <c r="G28" s="5">
        <f t="shared" si="0"/>
        <v>24197.38471352995</v>
      </c>
    </row>
    <row r="29" spans="1:7" ht="12.75">
      <c r="A29" s="6" t="s">
        <v>33</v>
      </c>
      <c r="B29" s="4">
        <f>'[1]По группам ИмФЛ (2 вариант)'!$Q$20</f>
        <v>2067.646903165779</v>
      </c>
      <c r="C29" s="4"/>
      <c r="D29" s="4">
        <f>'[2]группировка по ЗП'!$AD$17</f>
        <v>32017.399940000003</v>
      </c>
      <c r="E29" s="4">
        <f>'[3]2006 категории'!$H$19</f>
        <v>115.70000000000073</v>
      </c>
      <c r="F29" s="4">
        <f>'Аренда зем уч'!T30</f>
        <v>15008.343475847556</v>
      </c>
      <c r="G29" s="5">
        <f t="shared" si="0"/>
        <v>49209.09031901333</v>
      </c>
    </row>
    <row r="30" spans="1:7" ht="12.75">
      <c r="A30" s="6" t="s">
        <v>34</v>
      </c>
      <c r="B30" s="4">
        <f>'[1]По группам ИмФЛ (2 вариант)'!$Q$28</f>
        <v>239.10060564019454</v>
      </c>
      <c r="C30" s="4">
        <f>('[4]с данными терр отделений'!$F$33-'[4]с данными терр отделений'!$G$33-'Поступление на 01.07.07'!O33-'Поступление на 01.07.07'!Q33)/1000</f>
        <v>3287.7094589999997</v>
      </c>
      <c r="D30" s="4">
        <f>'[2]группировка по ЗП'!$AD$18</f>
        <v>9470.753139999992</v>
      </c>
      <c r="E30" s="4">
        <f>'[3]2006 категории'!$H$20</f>
        <v>808.1599999999999</v>
      </c>
      <c r="F30" s="4">
        <f>'Аренда зем уч'!T27</f>
        <v>35769.1849957182</v>
      </c>
      <c r="G30" s="5">
        <f t="shared" si="0"/>
        <v>49574.90820035838</v>
      </c>
    </row>
    <row r="31" spans="1:7" ht="12.75">
      <c r="A31" s="6" t="s">
        <v>35</v>
      </c>
      <c r="B31" s="4">
        <f>'[1]По группам ИмФЛ (2 вариант)'!$Q$31</f>
        <v>817.7033126179438</v>
      </c>
      <c r="C31" s="4">
        <f>('[4]с данными терр отделений'!$F$34-'[4]с данными терр отделений'!$G$34-'Поступление на 01.07.07'!O34-'Поступление на 01.07.07'!Q34)/1000</f>
        <v>841.4068789999998</v>
      </c>
      <c r="D31" s="4">
        <f>'[2]группировка по ЗП'!$AD$40</f>
        <v>5278.116619999998</v>
      </c>
      <c r="E31" s="4">
        <f>'[3]2006 категории'!$H$35</f>
        <v>1221.257</v>
      </c>
      <c r="F31" s="4">
        <f>'Аренда зем уч'!T40</f>
        <v>36009.058140395515</v>
      </c>
      <c r="G31" s="5">
        <f t="shared" si="0"/>
        <v>44167.54195201346</v>
      </c>
    </row>
    <row r="32" spans="1:7" ht="12.75">
      <c r="A32" s="6" t="s">
        <v>36</v>
      </c>
      <c r="B32" s="4">
        <f>'[1]По группам ИмФЛ (2 вариант)'!$Q$29</f>
        <v>570.8018413391735</v>
      </c>
      <c r="C32" s="4"/>
      <c r="D32" s="4">
        <f>'[2]группировка по ЗП'!$AD$41</f>
        <v>6476.401789999999</v>
      </c>
      <c r="E32" s="4">
        <f>'[3]2006 категории'!$H$36</f>
        <v>2756.062</v>
      </c>
      <c r="F32" s="4">
        <f>'Аренда зем уч'!T28</f>
        <v>8358.670668170294</v>
      </c>
      <c r="G32" s="5">
        <f t="shared" si="0"/>
        <v>18161.936299509467</v>
      </c>
    </row>
    <row r="33" spans="1:7" ht="12.75">
      <c r="A33" s="2" t="s">
        <v>37</v>
      </c>
      <c r="B33" s="4">
        <f>'[1]По группам ИмФЛ (2 вариант)'!$Q$32</f>
        <v>1298.3642925827166</v>
      </c>
      <c r="C33" s="4">
        <f>('[4]с данными терр отделений'!$F$36-'[4]с данными терр отделений'!$G$36-'Поступление на 01.07.07'!O36-'Поступление на 01.07.07'!Q36)/1000</f>
        <v>202.20992200000026</v>
      </c>
      <c r="D33" s="4">
        <f>'[2]группировка по ЗП'!$AD$42</f>
        <v>5872.28557</v>
      </c>
      <c r="E33" s="4">
        <f>'[3]2006 категории'!$H$37</f>
        <v>896.9589999999998</v>
      </c>
      <c r="F33" s="4">
        <f>'Аренда зем уч'!T41</f>
        <v>12872.613582699145</v>
      </c>
      <c r="G33" s="5">
        <f t="shared" si="0"/>
        <v>21142.43236728186</v>
      </c>
    </row>
    <row r="34" spans="1:7" ht="12.75">
      <c r="A34" s="2" t="s">
        <v>38</v>
      </c>
      <c r="B34" s="4">
        <f>'[1]По группам ИмФЛ (2 вариант)'!$Q$17</f>
        <v>304.7681357526953</v>
      </c>
      <c r="C34" s="4">
        <f>('[4]с данными терр отделений'!$F$37-'[4]с данными терр отделений'!$G$37-'Поступление на 01.07.07'!O37-'Поступление на 01.07.07'!Q37)/1000</f>
        <v>2930.759093</v>
      </c>
      <c r="D34" s="4">
        <f>'[2]группировка по ЗП'!$AD$19</f>
        <v>31723.009479999997</v>
      </c>
      <c r="E34" s="4">
        <f>'[3]2006 категории'!$H$21</f>
        <v>280.4400000000005</v>
      </c>
      <c r="F34" s="4">
        <f>'Аренда зем уч'!T19</f>
        <v>38964.01814207739</v>
      </c>
      <c r="G34" s="5">
        <f t="shared" si="0"/>
        <v>74202.99485083009</v>
      </c>
    </row>
    <row r="35" spans="1:7" ht="12.75">
      <c r="A35" s="2" t="s">
        <v>39</v>
      </c>
      <c r="B35" s="4">
        <f>'[1]По группам ИмФЛ (2 вариант)'!$Q$18</f>
        <v>0</v>
      </c>
      <c r="C35" s="4">
        <f>('[4]с данными терр отделений'!$F$38-'[4]с данными терр отделений'!$G$38-'Поступление на 01.07.07'!O38-'Поступление на 01.07.07'!Q38)/1000</f>
        <v>35234.446617</v>
      </c>
      <c r="D35" s="4">
        <f>'[2]группировка по ЗП'!$AD$25</f>
        <v>35698.826</v>
      </c>
      <c r="E35" s="4">
        <f>'[3]2006 категории'!$H$8</f>
        <v>730.8240000000005</v>
      </c>
      <c r="F35" s="4">
        <f>'Аренда зем уч'!T20</f>
        <v>0</v>
      </c>
      <c r="G35" s="5">
        <f t="shared" si="0"/>
        <v>71664.096617</v>
      </c>
    </row>
    <row r="36" spans="1:7" ht="12.75">
      <c r="A36" s="2" t="s">
        <v>40</v>
      </c>
      <c r="B36" s="4">
        <f>'[1]По группам ИмФЛ (2 вариант)'!$Q$19</f>
        <v>602.2858749577867</v>
      </c>
      <c r="C36" s="4">
        <f>('[4]с данными терр отделений'!$F$39-'[4]с данными терр отделений'!$G$39-'Поступление на 01.07.07'!O39-'Поступление на 01.07.07'!Q39)/1000</f>
        <v>4829.160951999999</v>
      </c>
      <c r="D36" s="4">
        <f>'[2]группировка по ЗП'!$AD$26</f>
        <v>8388.06215</v>
      </c>
      <c r="E36" s="4">
        <f>'[3]2006 категории'!$H$22</f>
        <v>2470.54</v>
      </c>
      <c r="F36" s="4">
        <f>'Аренда зем уч'!T31</f>
        <v>3412.190554774915</v>
      </c>
      <c r="G36" s="5">
        <f t="shared" si="0"/>
        <v>19702.239531732703</v>
      </c>
    </row>
    <row r="37" spans="1:7" ht="12.75">
      <c r="A37" s="2" t="s">
        <v>41</v>
      </c>
      <c r="B37" s="4">
        <f>'[1]По группам ИмФЛ (2 вариант)'!$Q$35</f>
        <v>957.8508699239832</v>
      </c>
      <c r="C37" s="4"/>
      <c r="D37" s="4">
        <f>'[2]группировка по ЗП'!$AD$43</f>
        <v>5435.9135099999985</v>
      </c>
      <c r="E37" s="4">
        <f>'[3]2006 категории'!$H$38</f>
        <v>1223.951</v>
      </c>
      <c r="F37" s="4">
        <f>'Аренда зем уч'!T42</f>
        <v>111.44141552174288</v>
      </c>
      <c r="G37" s="5">
        <f t="shared" si="0"/>
        <v>7729.156795445724</v>
      </c>
    </row>
    <row r="38" spans="1:7" ht="12.75">
      <c r="A38" s="2" t="s">
        <v>42</v>
      </c>
      <c r="B38" s="4">
        <f>'[1]По группам ИмФЛ (2 вариант)'!$Q$36</f>
        <v>675.4020152842621</v>
      </c>
      <c r="C38" s="4"/>
      <c r="D38" s="4">
        <f>'[2]группировка по ЗП'!$AD$44</f>
        <v>5177.78349</v>
      </c>
      <c r="E38" s="4">
        <f>'[3]2006 категории'!$H$23</f>
        <v>967.1599999999999</v>
      </c>
      <c r="F38" s="4">
        <f>'Аренда зем уч'!T43</f>
        <v>2431.5229083543372</v>
      </c>
      <c r="G38" s="5">
        <f t="shared" si="0"/>
        <v>9251.8684136386</v>
      </c>
    </row>
    <row r="39" spans="1:7" ht="12.75">
      <c r="A39" s="2" t="s">
        <v>43</v>
      </c>
      <c r="B39" s="4">
        <f>'[1]По группам ИмФЛ (2 вариант)'!$Q$37</f>
        <v>499.6013542623337</v>
      </c>
      <c r="C39" s="4"/>
      <c r="D39" s="4">
        <f>'[2]группировка по ЗП'!$AD$45</f>
        <v>5480.31185</v>
      </c>
      <c r="E39" s="4">
        <f>'[3]2006 категории'!$H$39</f>
        <v>946.578</v>
      </c>
      <c r="F39" s="4">
        <f>'Аренда зем уч'!T44</f>
        <v>1206.6372058453755</v>
      </c>
      <c r="G39" s="5">
        <f t="shared" si="0"/>
        <v>8133.12841010771</v>
      </c>
    </row>
    <row r="40" spans="1:7" ht="12.75">
      <c r="A40" s="2" t="s">
        <v>44</v>
      </c>
      <c r="B40" s="4">
        <f>'[1]По группам ИмФЛ (2 вариант)'!$Q$38</f>
        <v>990.7088914234183</v>
      </c>
      <c r="C40" s="4">
        <f>('[4]с данными терр отделений'!$F$43-'[4]с данными терр отделений'!$G$43-'Поступление на 01.07.07'!O43-'Поступление на 01.07.07'!Q43)/1000</f>
        <v>5926.371015000001</v>
      </c>
      <c r="D40" s="4">
        <f>'[2]группировка по ЗП'!$AD$46</f>
        <v>4150.63186</v>
      </c>
      <c r="E40" s="4">
        <f>'[3]2006 категории'!$H$40</f>
        <v>712.7869999999998</v>
      </c>
      <c r="F40" s="4">
        <f>'Аренда зем уч'!T45</f>
        <v>5591.300636844303</v>
      </c>
      <c r="G40" s="5">
        <f t="shared" si="0"/>
        <v>17371.799403267723</v>
      </c>
    </row>
    <row r="41" spans="1:7" s="9" customFormat="1" ht="12.75">
      <c r="A41" s="7" t="s">
        <v>45</v>
      </c>
      <c r="B41" s="8">
        <f aca="true" t="shared" si="1" ref="B41:G41">SUM(B4:B40)</f>
        <v>127381.07595773434</v>
      </c>
      <c r="C41" s="8">
        <f t="shared" si="1"/>
        <v>1450175.0611101799</v>
      </c>
      <c r="D41" s="8">
        <f t="shared" si="1"/>
        <v>855126.096849</v>
      </c>
      <c r="E41" s="8">
        <f t="shared" si="1"/>
        <v>111181.53299999998</v>
      </c>
      <c r="F41" s="8">
        <f t="shared" si="1"/>
        <v>1726886.9393906163</v>
      </c>
      <c r="G41" s="8">
        <f t="shared" si="1"/>
        <v>4270750.706307531</v>
      </c>
    </row>
  </sheetData>
  <sheetProtection/>
  <mergeCells count="2">
    <mergeCell ref="A2:A3"/>
    <mergeCell ref="B2:F2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52"/>
  <sheetViews>
    <sheetView zoomScalePageLayoutView="0" workbookViewId="0" topLeftCell="A1">
      <pane xSplit="2" ySplit="6" topLeftCell="C7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A4" sqref="A4:H52"/>
    </sheetView>
  </sheetViews>
  <sheetFormatPr defaultColWidth="9.00390625" defaultRowHeight="12.75"/>
  <cols>
    <col min="1" max="1" width="9.125" style="186" customWidth="1"/>
    <col min="2" max="2" width="25.75390625" style="186" customWidth="1"/>
    <col min="3" max="3" width="13.625" style="186" customWidth="1"/>
    <col min="4" max="4" width="15.75390625" style="186" customWidth="1"/>
    <col min="5" max="5" width="12.625" style="186" customWidth="1"/>
    <col min="6" max="6" width="17.75390625" style="186" customWidth="1"/>
    <col min="7" max="7" width="14.00390625" style="186" customWidth="1"/>
    <col min="8" max="8" width="16.00390625" style="186" customWidth="1"/>
    <col min="9" max="9" width="9.125" style="186" customWidth="1"/>
    <col min="10" max="10" width="12.25390625" style="186" customWidth="1"/>
    <col min="11" max="16384" width="9.125" style="186" customWidth="1"/>
  </cols>
  <sheetData>
    <row r="1" ht="12.75">
      <c r="H1" s="215" t="s">
        <v>197</v>
      </c>
    </row>
    <row r="2" ht="12.75">
      <c r="H2" s="215"/>
    </row>
    <row r="3" ht="12.75">
      <c r="H3" s="215"/>
    </row>
    <row r="4" spans="1:8" ht="33" customHeight="1">
      <c r="A4" s="427" t="s">
        <v>207</v>
      </c>
      <c r="B4" s="427"/>
      <c r="C4" s="427"/>
      <c r="D4" s="427"/>
      <c r="E4" s="427"/>
      <c r="F4" s="427"/>
      <c r="G4" s="427"/>
      <c r="H4" s="427"/>
    </row>
    <row r="5" spans="1:8" ht="33" customHeight="1">
      <c r="A5" s="217"/>
      <c r="B5" s="217"/>
      <c r="C5" s="217"/>
      <c r="D5" s="217"/>
      <c r="E5" s="217"/>
      <c r="F5" s="217"/>
      <c r="G5" s="217"/>
      <c r="H5" s="217"/>
    </row>
    <row r="6" spans="1:8" s="189" customFormat="1" ht="29.25" customHeight="1">
      <c r="A6" s="187"/>
      <c r="B6" s="188" t="s">
        <v>46</v>
      </c>
      <c r="C6" s="187" t="s">
        <v>217</v>
      </c>
      <c r="D6" s="187" t="s">
        <v>218</v>
      </c>
      <c r="E6" s="187" t="s">
        <v>194</v>
      </c>
      <c r="F6" s="187" t="s">
        <v>227</v>
      </c>
      <c r="G6" s="187" t="s">
        <v>195</v>
      </c>
      <c r="H6" s="187" t="s">
        <v>196</v>
      </c>
    </row>
    <row r="7" spans="1:8" s="195" customFormat="1" ht="12.75">
      <c r="A7" s="287"/>
      <c r="B7" s="288" t="s">
        <v>48</v>
      </c>
      <c r="C7" s="289">
        <v>721752</v>
      </c>
      <c r="D7" s="289">
        <v>248124899.07</v>
      </c>
      <c r="E7" s="283">
        <f aca="true" t="shared" si="0" ref="E7:E43">D7/C7</f>
        <v>343.7813806820071</v>
      </c>
      <c r="F7" s="283">
        <v>143327100</v>
      </c>
      <c r="G7" s="283">
        <f aca="true" t="shared" si="1" ref="G7:G43">F7/C7*1000</f>
        <v>198582.19998004855</v>
      </c>
      <c r="H7" s="290">
        <f>(571.41-E7)*C7/1000</f>
        <v>164291.41124999998</v>
      </c>
    </row>
    <row r="8" spans="1:8" s="195" customFormat="1" ht="12.75">
      <c r="A8" s="287"/>
      <c r="B8" s="288" t="s">
        <v>47</v>
      </c>
      <c r="C8" s="289">
        <v>1133798</v>
      </c>
      <c r="D8" s="289">
        <v>647857877.09</v>
      </c>
      <c r="E8" s="283">
        <f t="shared" si="0"/>
        <v>571.405027253532</v>
      </c>
      <c r="F8" s="283">
        <v>184338318</v>
      </c>
      <c r="G8" s="283">
        <f t="shared" si="1"/>
        <v>162584.79729193382</v>
      </c>
      <c r="H8" s="290"/>
    </row>
    <row r="9" spans="1:8" s="195" customFormat="1" ht="12.75">
      <c r="A9" s="200"/>
      <c r="B9" s="201" t="s">
        <v>24</v>
      </c>
      <c r="C9" s="204">
        <v>82277</v>
      </c>
      <c r="D9" s="204">
        <v>17433399.87</v>
      </c>
      <c r="E9" s="202">
        <f t="shared" si="0"/>
        <v>211.8866739185921</v>
      </c>
      <c r="F9" s="202">
        <v>11336420</v>
      </c>
      <c r="G9" s="202">
        <f t="shared" si="1"/>
        <v>137783.5847199096</v>
      </c>
      <c r="H9" s="203"/>
    </row>
    <row r="10" spans="1:8" s="195" customFormat="1" ht="12.75">
      <c r="A10" s="200"/>
      <c r="B10" s="201" t="s">
        <v>39</v>
      </c>
      <c r="C10" s="204">
        <v>53543</v>
      </c>
      <c r="D10" s="204">
        <v>10452783.64</v>
      </c>
      <c r="E10" s="202">
        <f t="shared" si="0"/>
        <v>195.22222587453075</v>
      </c>
      <c r="F10" s="202">
        <v>4848810</v>
      </c>
      <c r="G10" s="202">
        <f t="shared" si="1"/>
        <v>90559.17673645481</v>
      </c>
      <c r="H10" s="203">
        <f>(211.89-E10)*C10/1000</f>
        <v>892.4426299999993</v>
      </c>
    </row>
    <row r="11" spans="1:8" s="195" customFormat="1" ht="12.75">
      <c r="A11" s="190"/>
      <c r="B11" s="191" t="s">
        <v>49</v>
      </c>
      <c r="C11" s="192">
        <v>179414</v>
      </c>
      <c r="D11" s="192">
        <v>73315951.99</v>
      </c>
      <c r="E11" s="193">
        <f t="shared" si="0"/>
        <v>408.6411985129365</v>
      </c>
      <c r="F11" s="193">
        <v>14825560</v>
      </c>
      <c r="G11" s="193">
        <f t="shared" si="1"/>
        <v>82633.23932357563</v>
      </c>
      <c r="H11" s="194"/>
    </row>
    <row r="12" spans="1:8" s="195" customFormat="1" ht="12.75">
      <c r="A12" s="190"/>
      <c r="B12" s="191" t="s">
        <v>52</v>
      </c>
      <c r="C12" s="192">
        <v>47709</v>
      </c>
      <c r="D12" s="192">
        <v>12964362.6</v>
      </c>
      <c r="E12" s="193">
        <f t="shared" si="0"/>
        <v>271.73830094950637</v>
      </c>
      <c r="F12" s="193">
        <v>2993120</v>
      </c>
      <c r="G12" s="193">
        <f t="shared" si="1"/>
        <v>62737.0097885095</v>
      </c>
      <c r="H12" s="194">
        <f>(408.64-E12)*C12/1000</f>
        <v>6531.44316</v>
      </c>
    </row>
    <row r="13" spans="1:8" s="195" customFormat="1" ht="12.75">
      <c r="A13" s="291"/>
      <c r="B13" s="292" t="s">
        <v>50</v>
      </c>
      <c r="C13" s="293">
        <v>112309</v>
      </c>
      <c r="D13" s="293">
        <v>42202611.08</v>
      </c>
      <c r="E13" s="281">
        <f t="shared" si="0"/>
        <v>375.77229856912624</v>
      </c>
      <c r="F13" s="281">
        <v>6212870</v>
      </c>
      <c r="G13" s="281">
        <f t="shared" si="1"/>
        <v>55319.431212102325</v>
      </c>
      <c r="H13" s="294">
        <f>(384.96-E13)*C13/1000</f>
        <v>1031.8615599999994</v>
      </c>
    </row>
    <row r="14" spans="1:8" s="195" customFormat="1" ht="12.75">
      <c r="A14" s="291"/>
      <c r="B14" s="292" t="s">
        <v>56</v>
      </c>
      <c r="C14" s="293">
        <v>29101</v>
      </c>
      <c r="D14" s="293">
        <v>11202790.09</v>
      </c>
      <c r="E14" s="281">
        <f t="shared" si="0"/>
        <v>384.96237551974156</v>
      </c>
      <c r="F14" s="281">
        <v>1439761</v>
      </c>
      <c r="G14" s="281">
        <f t="shared" si="1"/>
        <v>49474.62286519364</v>
      </c>
      <c r="H14" s="294"/>
    </row>
    <row r="15" spans="1:8" s="195" customFormat="1" ht="12.75">
      <c r="A15" s="291"/>
      <c r="B15" s="292" t="s">
        <v>25</v>
      </c>
      <c r="C15" s="293">
        <v>9922</v>
      </c>
      <c r="D15" s="293">
        <v>1136347.66</v>
      </c>
      <c r="E15" s="281">
        <f t="shared" si="0"/>
        <v>114.52808506349525</v>
      </c>
      <c r="F15" s="281">
        <v>371428</v>
      </c>
      <c r="G15" s="281">
        <f t="shared" si="1"/>
        <v>37434.79137270712</v>
      </c>
      <c r="H15" s="294">
        <f>(384.96-E15)*C15/1000</f>
        <v>2683.22546</v>
      </c>
    </row>
    <row r="16" spans="1:8" s="195" customFormat="1" ht="12.75">
      <c r="A16" s="291"/>
      <c r="B16" s="292" t="s">
        <v>55</v>
      </c>
      <c r="C16" s="293">
        <v>50787</v>
      </c>
      <c r="D16" s="293">
        <v>14555064.47</v>
      </c>
      <c r="E16" s="281">
        <f t="shared" si="0"/>
        <v>286.590357178018</v>
      </c>
      <c r="F16" s="281">
        <v>2103245</v>
      </c>
      <c r="G16" s="281">
        <f t="shared" si="1"/>
        <v>41413.05845984208</v>
      </c>
      <c r="H16" s="294">
        <f>(384.96-E16)*C16/1000</f>
        <v>4995.899049999999</v>
      </c>
    </row>
    <row r="17" spans="1:8" s="195" customFormat="1" ht="12.75">
      <c r="A17" s="291"/>
      <c r="B17" s="292" t="s">
        <v>31</v>
      </c>
      <c r="C17" s="293">
        <v>25766</v>
      </c>
      <c r="D17" s="293">
        <v>5953701.23</v>
      </c>
      <c r="E17" s="281">
        <f t="shared" si="0"/>
        <v>231.06812194364667</v>
      </c>
      <c r="F17" s="281">
        <v>1126190</v>
      </c>
      <c r="G17" s="281">
        <f t="shared" si="1"/>
        <v>43708.375378405646</v>
      </c>
      <c r="H17" s="294">
        <f>(384.96-E17)*C17/1000</f>
        <v>3965.1781299999993</v>
      </c>
    </row>
    <row r="18" spans="1:8" s="195" customFormat="1" ht="12.75">
      <c r="A18" s="295"/>
      <c r="B18" s="296" t="s">
        <v>33</v>
      </c>
      <c r="C18" s="297">
        <v>51952</v>
      </c>
      <c r="D18" s="297">
        <v>21617705.76</v>
      </c>
      <c r="E18" s="284">
        <f t="shared" si="0"/>
        <v>416.10921157992</v>
      </c>
      <c r="F18" s="284">
        <v>1245496</v>
      </c>
      <c r="G18" s="284">
        <f t="shared" si="1"/>
        <v>23973.975977825685</v>
      </c>
      <c r="H18" s="298"/>
    </row>
    <row r="19" spans="1:8" s="195" customFormat="1" ht="12.75">
      <c r="A19" s="295"/>
      <c r="B19" s="296" t="s">
        <v>26</v>
      </c>
      <c r="C19" s="297">
        <v>14002</v>
      </c>
      <c r="D19" s="297">
        <v>2815437.2</v>
      </c>
      <c r="E19" s="284">
        <f t="shared" si="0"/>
        <v>201.07393229538638</v>
      </c>
      <c r="F19" s="284">
        <v>430950</v>
      </c>
      <c r="G19" s="284">
        <f t="shared" si="1"/>
        <v>30777.746036280532</v>
      </c>
      <c r="H19" s="298">
        <f>(416.11-E19)*C19/1000</f>
        <v>3010.93502</v>
      </c>
    </row>
    <row r="20" spans="1:8" s="195" customFormat="1" ht="12.75">
      <c r="A20" s="295"/>
      <c r="B20" s="296" t="s">
        <v>54</v>
      </c>
      <c r="C20" s="297">
        <v>27800</v>
      </c>
      <c r="D20" s="297">
        <v>3971478.5</v>
      </c>
      <c r="E20" s="284">
        <f t="shared" si="0"/>
        <v>142.85893884892087</v>
      </c>
      <c r="F20" s="284">
        <v>817767</v>
      </c>
      <c r="G20" s="284">
        <f t="shared" si="1"/>
        <v>29416.07913669065</v>
      </c>
      <c r="H20" s="298">
        <f aca="true" t="shared" si="2" ref="H20:H28">(416.11-E20)*C20/1000</f>
        <v>7596.379500000001</v>
      </c>
    </row>
    <row r="21" spans="1:8" s="195" customFormat="1" ht="12.75">
      <c r="A21" s="295"/>
      <c r="B21" s="296" t="s">
        <v>40</v>
      </c>
      <c r="C21" s="297">
        <v>25633</v>
      </c>
      <c r="D21" s="297">
        <v>3870963.86</v>
      </c>
      <c r="E21" s="284">
        <f t="shared" si="0"/>
        <v>151.01485819061367</v>
      </c>
      <c r="F21" s="284">
        <v>577938</v>
      </c>
      <c r="G21" s="284">
        <f t="shared" si="1"/>
        <v>22546.639098037685</v>
      </c>
      <c r="H21" s="298">
        <f t="shared" si="2"/>
        <v>6795.183770000001</v>
      </c>
    </row>
    <row r="22" spans="1:8" s="195" customFormat="1" ht="12.75">
      <c r="A22" s="295"/>
      <c r="B22" s="296" t="s">
        <v>53</v>
      </c>
      <c r="C22" s="297">
        <v>62553</v>
      </c>
      <c r="D22" s="297">
        <v>14611029.99</v>
      </c>
      <c r="E22" s="284">
        <f t="shared" si="0"/>
        <v>233.57840535226129</v>
      </c>
      <c r="F22" s="284">
        <v>1708359</v>
      </c>
      <c r="G22" s="284">
        <f t="shared" si="1"/>
        <v>27310.584624238647</v>
      </c>
      <c r="H22" s="298">
        <f t="shared" si="2"/>
        <v>11417.89884</v>
      </c>
    </row>
    <row r="23" spans="1:8" s="195" customFormat="1" ht="12.75">
      <c r="A23" s="295"/>
      <c r="B23" s="296" t="s">
        <v>29</v>
      </c>
      <c r="C23" s="297">
        <v>29056</v>
      </c>
      <c r="D23" s="297">
        <v>3155843.77</v>
      </c>
      <c r="E23" s="284">
        <f t="shared" si="0"/>
        <v>108.61246455121146</v>
      </c>
      <c r="F23" s="284">
        <v>754240</v>
      </c>
      <c r="G23" s="284">
        <f t="shared" si="1"/>
        <v>25958.149779735682</v>
      </c>
      <c r="H23" s="298">
        <f t="shared" si="2"/>
        <v>8934.64839</v>
      </c>
    </row>
    <row r="24" spans="1:8" s="195" customFormat="1" ht="12.75">
      <c r="A24" s="295"/>
      <c r="B24" s="296" t="s">
        <v>38</v>
      </c>
      <c r="C24" s="297">
        <v>44636</v>
      </c>
      <c r="D24" s="297">
        <v>15710781.37</v>
      </c>
      <c r="E24" s="284">
        <f t="shared" si="0"/>
        <v>351.9755661349583</v>
      </c>
      <c r="F24" s="284">
        <v>1252362</v>
      </c>
      <c r="G24" s="284">
        <f t="shared" si="1"/>
        <v>28057.218388744514</v>
      </c>
      <c r="H24" s="298">
        <f t="shared" si="2"/>
        <v>2862.7045900000026</v>
      </c>
    </row>
    <row r="25" spans="1:8" s="195" customFormat="1" ht="12.75">
      <c r="A25" s="295"/>
      <c r="B25" s="296" t="s">
        <v>51</v>
      </c>
      <c r="C25" s="297">
        <v>73375</v>
      </c>
      <c r="D25" s="297">
        <v>17384395.72</v>
      </c>
      <c r="E25" s="284">
        <f t="shared" si="0"/>
        <v>236.9253249744463</v>
      </c>
      <c r="F25" s="284">
        <v>1831274</v>
      </c>
      <c r="G25" s="284">
        <f t="shared" si="1"/>
        <v>24957.73764906303</v>
      </c>
      <c r="H25" s="298">
        <f t="shared" si="2"/>
        <v>13147.675530000002</v>
      </c>
    </row>
    <row r="26" spans="1:8" s="195" customFormat="1" ht="12.75">
      <c r="A26" s="295"/>
      <c r="B26" s="296" t="s">
        <v>37</v>
      </c>
      <c r="C26" s="297">
        <v>23865</v>
      </c>
      <c r="D26" s="297">
        <v>3266313.17</v>
      </c>
      <c r="E26" s="284">
        <f t="shared" si="0"/>
        <v>136.8662547663943</v>
      </c>
      <c r="F26" s="284">
        <v>652973</v>
      </c>
      <c r="G26" s="284">
        <f t="shared" si="1"/>
        <v>27361.114602975067</v>
      </c>
      <c r="H26" s="298">
        <f t="shared" si="2"/>
        <v>6664.1519800000015</v>
      </c>
    </row>
    <row r="27" spans="1:8" s="195" customFormat="1" ht="12.75">
      <c r="A27" s="295"/>
      <c r="B27" s="296" t="s">
        <v>34</v>
      </c>
      <c r="C27" s="297">
        <v>31672</v>
      </c>
      <c r="D27" s="297">
        <v>6221562.51</v>
      </c>
      <c r="E27" s="284">
        <f t="shared" si="0"/>
        <v>196.43731087395807</v>
      </c>
      <c r="F27" s="284">
        <v>682410</v>
      </c>
      <c r="G27" s="284">
        <f t="shared" si="1"/>
        <v>21546.160646627937</v>
      </c>
      <c r="H27" s="298">
        <f t="shared" si="2"/>
        <v>6957.4734100000005</v>
      </c>
    </row>
    <row r="28" spans="1:8" s="195" customFormat="1" ht="12.75">
      <c r="A28" s="295"/>
      <c r="B28" s="296" t="s">
        <v>19</v>
      </c>
      <c r="C28" s="297">
        <v>40161</v>
      </c>
      <c r="D28" s="297">
        <v>7920098.91</v>
      </c>
      <c r="E28" s="284">
        <f t="shared" si="0"/>
        <v>197.20870770150145</v>
      </c>
      <c r="F28" s="284">
        <v>865645</v>
      </c>
      <c r="G28" s="284">
        <f t="shared" si="1"/>
        <v>21554.368666118873</v>
      </c>
      <c r="H28" s="298">
        <f t="shared" si="2"/>
        <v>8791.294800000001</v>
      </c>
    </row>
    <row r="29" spans="1:8" s="195" customFormat="1" ht="12.75">
      <c r="A29" s="285"/>
      <c r="B29" s="286" t="s">
        <v>57</v>
      </c>
      <c r="C29" s="277">
        <v>20389</v>
      </c>
      <c r="D29" s="277">
        <v>4203495.73</v>
      </c>
      <c r="E29" s="282">
        <f t="shared" si="0"/>
        <v>206.16487959193685</v>
      </c>
      <c r="F29" s="282">
        <v>385670</v>
      </c>
      <c r="G29" s="282">
        <f t="shared" si="1"/>
        <v>18915.591740644464</v>
      </c>
      <c r="H29" s="279">
        <f aca="true" t="shared" si="3" ref="H29:H40">(228.79-E29)*C29/1000</f>
        <v>461.3035799999994</v>
      </c>
    </row>
    <row r="30" spans="1:8" s="195" customFormat="1" ht="12.75">
      <c r="A30" s="285"/>
      <c r="B30" s="286" t="s">
        <v>20</v>
      </c>
      <c r="C30" s="277">
        <v>15698</v>
      </c>
      <c r="D30" s="277">
        <v>2883751.26</v>
      </c>
      <c r="E30" s="282">
        <f t="shared" si="0"/>
        <v>183.70182571028155</v>
      </c>
      <c r="F30" s="282">
        <v>302749</v>
      </c>
      <c r="G30" s="282">
        <f t="shared" si="1"/>
        <v>19285.83259013887</v>
      </c>
      <c r="H30" s="279">
        <f t="shared" si="3"/>
        <v>707.79416</v>
      </c>
    </row>
    <row r="31" spans="1:8" s="195" customFormat="1" ht="12.75">
      <c r="A31" s="285"/>
      <c r="B31" s="286" t="s">
        <v>30</v>
      </c>
      <c r="C31" s="277">
        <v>47920</v>
      </c>
      <c r="D31" s="277">
        <v>10963560.32</v>
      </c>
      <c r="E31" s="282">
        <f t="shared" si="0"/>
        <v>228.78882136894825</v>
      </c>
      <c r="F31" s="282">
        <v>915460</v>
      </c>
      <c r="G31" s="282">
        <f t="shared" si="1"/>
        <v>19103.92320534224</v>
      </c>
      <c r="H31" s="279"/>
    </row>
    <row r="32" spans="1:8" s="195" customFormat="1" ht="12.75">
      <c r="A32" s="285"/>
      <c r="B32" s="286" t="s">
        <v>58</v>
      </c>
      <c r="C32" s="277">
        <v>18281</v>
      </c>
      <c r="D32" s="277">
        <v>3998486.85</v>
      </c>
      <c r="E32" s="282">
        <f t="shared" si="0"/>
        <v>218.72363929763142</v>
      </c>
      <c r="F32" s="282">
        <v>297690</v>
      </c>
      <c r="G32" s="282">
        <f t="shared" si="1"/>
        <v>16284.120124719653</v>
      </c>
      <c r="H32" s="279">
        <f t="shared" si="3"/>
        <v>184.02313999999984</v>
      </c>
    </row>
    <row r="33" spans="1:8" s="195" customFormat="1" ht="12.75">
      <c r="A33" s="285"/>
      <c r="B33" s="286" t="s">
        <v>32</v>
      </c>
      <c r="C33" s="277">
        <v>18250</v>
      </c>
      <c r="D33" s="277">
        <v>2685867.06</v>
      </c>
      <c r="E33" s="282">
        <f t="shared" si="0"/>
        <v>147.1707978082192</v>
      </c>
      <c r="F33" s="282">
        <v>315130</v>
      </c>
      <c r="G33" s="282">
        <f t="shared" si="1"/>
        <v>17267.397260273974</v>
      </c>
      <c r="H33" s="279">
        <f t="shared" si="3"/>
        <v>1489.5504399999998</v>
      </c>
    </row>
    <row r="34" spans="1:8" s="195" customFormat="1" ht="12.75">
      <c r="A34" s="285"/>
      <c r="B34" s="286" t="s">
        <v>36</v>
      </c>
      <c r="C34" s="277">
        <v>27985</v>
      </c>
      <c r="D34" s="277">
        <v>3123623.69</v>
      </c>
      <c r="E34" s="282">
        <f t="shared" si="0"/>
        <v>111.61778417009111</v>
      </c>
      <c r="F34" s="282">
        <v>485928</v>
      </c>
      <c r="G34" s="282">
        <f t="shared" si="1"/>
        <v>17363.87350366268</v>
      </c>
      <c r="H34" s="279">
        <f t="shared" si="3"/>
        <v>3279.06446</v>
      </c>
    </row>
    <row r="35" spans="1:8" s="195" customFormat="1" ht="12.75">
      <c r="A35" s="285"/>
      <c r="B35" s="286" t="s">
        <v>43</v>
      </c>
      <c r="C35" s="277">
        <v>17107</v>
      </c>
      <c r="D35" s="277">
        <v>1469939.77</v>
      </c>
      <c r="E35" s="282">
        <f t="shared" si="0"/>
        <v>85.92621558426376</v>
      </c>
      <c r="F35" s="282">
        <v>248271</v>
      </c>
      <c r="G35" s="282">
        <f t="shared" si="1"/>
        <v>14512.831004851816</v>
      </c>
      <c r="H35" s="279">
        <f t="shared" si="3"/>
        <v>2443.9707599999997</v>
      </c>
    </row>
    <row r="36" spans="1:8" s="195" customFormat="1" ht="12.75">
      <c r="A36" s="285"/>
      <c r="B36" s="286" t="s">
        <v>44</v>
      </c>
      <c r="C36" s="277">
        <v>20878</v>
      </c>
      <c r="D36" s="277">
        <v>3837081.15</v>
      </c>
      <c r="E36" s="282">
        <f t="shared" si="0"/>
        <v>183.7858583197624</v>
      </c>
      <c r="F36" s="282">
        <v>353395</v>
      </c>
      <c r="G36" s="282">
        <f t="shared" si="1"/>
        <v>16926.669221189768</v>
      </c>
      <c r="H36" s="279">
        <f t="shared" si="3"/>
        <v>939.5964700000002</v>
      </c>
    </row>
    <row r="37" spans="1:8" s="195" customFormat="1" ht="12.75">
      <c r="A37" s="285"/>
      <c r="B37" s="286" t="s">
        <v>23</v>
      </c>
      <c r="C37" s="277">
        <v>24704</v>
      </c>
      <c r="D37" s="277">
        <v>3784298.49</v>
      </c>
      <c r="E37" s="282">
        <f t="shared" si="0"/>
        <v>153.18565778821244</v>
      </c>
      <c r="F37" s="282">
        <v>350450</v>
      </c>
      <c r="G37" s="282">
        <f t="shared" si="1"/>
        <v>14185.961787564765</v>
      </c>
      <c r="H37" s="279">
        <f t="shared" si="3"/>
        <v>1867.7296699999997</v>
      </c>
    </row>
    <row r="38" spans="1:8" s="195" customFormat="1" ht="12.75">
      <c r="A38" s="285"/>
      <c r="B38" s="286" t="s">
        <v>18</v>
      </c>
      <c r="C38" s="277">
        <v>12184</v>
      </c>
      <c r="D38" s="277">
        <v>1651415.3</v>
      </c>
      <c r="E38" s="282">
        <f t="shared" si="0"/>
        <v>135.5396667760998</v>
      </c>
      <c r="F38" s="282">
        <v>185860</v>
      </c>
      <c r="G38" s="282">
        <f t="shared" si="1"/>
        <v>15254.432042022325</v>
      </c>
      <c r="H38" s="279">
        <f t="shared" si="3"/>
        <v>1136.1620599999999</v>
      </c>
    </row>
    <row r="39" spans="1:8" s="195" customFormat="1" ht="12.75">
      <c r="A39" s="285"/>
      <c r="B39" s="286" t="s">
        <v>42</v>
      </c>
      <c r="C39" s="277">
        <v>17273</v>
      </c>
      <c r="D39" s="277">
        <v>2590225.94</v>
      </c>
      <c r="E39" s="282">
        <f t="shared" si="0"/>
        <v>149.95808139871477</v>
      </c>
      <c r="F39" s="282">
        <v>235894</v>
      </c>
      <c r="G39" s="282">
        <f t="shared" si="1"/>
        <v>13656.805418861808</v>
      </c>
      <c r="H39" s="279">
        <f t="shared" si="3"/>
        <v>1361.6637299999998</v>
      </c>
    </row>
    <row r="40" spans="1:8" s="195" customFormat="1" ht="12.75">
      <c r="A40" s="285"/>
      <c r="B40" s="286" t="s">
        <v>28</v>
      </c>
      <c r="C40" s="277">
        <v>14899</v>
      </c>
      <c r="D40" s="277">
        <v>2753678.15</v>
      </c>
      <c r="E40" s="282">
        <f t="shared" si="0"/>
        <v>184.8230183233774</v>
      </c>
      <c r="F40" s="282">
        <v>185345</v>
      </c>
      <c r="G40" s="282">
        <f t="shared" si="1"/>
        <v>12440.096650781932</v>
      </c>
      <c r="H40" s="279">
        <f t="shared" si="3"/>
        <v>655.06406</v>
      </c>
    </row>
    <row r="41" spans="1:8" s="195" customFormat="1" ht="12.75">
      <c r="A41" s="299"/>
      <c r="B41" s="300" t="s">
        <v>41</v>
      </c>
      <c r="C41" s="301">
        <v>14819</v>
      </c>
      <c r="D41" s="301">
        <v>1852634.44</v>
      </c>
      <c r="E41" s="302">
        <f t="shared" si="0"/>
        <v>125.01750725420068</v>
      </c>
      <c r="F41" s="302">
        <v>173521</v>
      </c>
      <c r="G41" s="302">
        <f t="shared" si="1"/>
        <v>11709.35960591133</v>
      </c>
      <c r="H41" s="303"/>
    </row>
    <row r="42" spans="1:8" s="195" customFormat="1" ht="12.75">
      <c r="A42" s="299"/>
      <c r="B42" s="300" t="s">
        <v>27</v>
      </c>
      <c r="C42" s="301">
        <v>11378</v>
      </c>
      <c r="D42" s="301">
        <v>1318602.15</v>
      </c>
      <c r="E42" s="302">
        <f t="shared" si="0"/>
        <v>115.89050360344524</v>
      </c>
      <c r="F42" s="302">
        <v>115517</v>
      </c>
      <c r="G42" s="302">
        <f t="shared" si="1"/>
        <v>10152.663033925119</v>
      </c>
      <c r="H42" s="303">
        <f>(125.02-E42)*C42/1000</f>
        <v>103.87541000000002</v>
      </c>
    </row>
    <row r="43" spans="1:8" s="195" customFormat="1" ht="12.75">
      <c r="A43" s="299"/>
      <c r="B43" s="300" t="s">
        <v>35</v>
      </c>
      <c r="C43" s="301">
        <v>17293</v>
      </c>
      <c r="D43" s="301">
        <v>1721341.64</v>
      </c>
      <c r="E43" s="302">
        <f t="shared" si="0"/>
        <v>99.53979297981842</v>
      </c>
      <c r="F43" s="302">
        <v>190805</v>
      </c>
      <c r="G43" s="302">
        <f t="shared" si="1"/>
        <v>11033.655236222748</v>
      </c>
      <c r="H43" s="303">
        <f>(115.89-E43)*C43/1000</f>
        <v>282.74413000000015</v>
      </c>
    </row>
    <row r="44" spans="1:8" s="195" customFormat="1" ht="12.75">
      <c r="A44" s="196"/>
      <c r="B44" s="197"/>
      <c r="C44" s="198"/>
      <c r="D44" s="199"/>
      <c r="E44" s="199"/>
      <c r="F44" s="199"/>
      <c r="G44" s="199"/>
      <c r="H44" s="162">
        <f>SUM(H7:H43)</f>
        <v>275482.34913999995</v>
      </c>
    </row>
    <row r="45" ht="12.75">
      <c r="C45" s="205"/>
    </row>
    <row r="46" ht="12.75">
      <c r="A46" s="206" t="s">
        <v>212</v>
      </c>
    </row>
    <row r="47" ht="12.75">
      <c r="A47" s="206" t="s">
        <v>228</v>
      </c>
    </row>
    <row r="48" ht="12.75">
      <c r="A48" s="206" t="s">
        <v>229</v>
      </c>
    </row>
    <row r="49" ht="12.75">
      <c r="A49" s="206" t="s">
        <v>230</v>
      </c>
    </row>
    <row r="50" ht="12.75">
      <c r="A50" s="206" t="s">
        <v>213</v>
      </c>
    </row>
    <row r="51" ht="12.75">
      <c r="A51" s="206" t="s">
        <v>237</v>
      </c>
    </row>
    <row r="52" ht="12.75">
      <c r="A52" s="206" t="s">
        <v>238</v>
      </c>
    </row>
  </sheetData>
  <sheetProtection/>
  <mergeCells count="1">
    <mergeCell ref="A4:H4"/>
  </mergeCells>
  <printOptions/>
  <pageMargins left="0.75" right="0.7086614173228347" top="0.2" bottom="0.2" header="0.17" footer="0.17"/>
  <pageSetup fitToHeight="1" fitToWidth="1" horizontalDpi="600" verticalDpi="600" orientation="landscape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54"/>
  <sheetViews>
    <sheetView zoomScale="110" zoomScaleNormal="110" zoomScalePageLayoutView="0" workbookViewId="0" topLeftCell="A4">
      <pane xSplit="2" ySplit="6" topLeftCell="C37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F47" sqref="F47"/>
    </sheetView>
  </sheetViews>
  <sheetFormatPr defaultColWidth="9.00390625" defaultRowHeight="12.75"/>
  <cols>
    <col min="1" max="1" width="26.00390625" style="156" customWidth="1"/>
    <col min="2" max="2" width="4.625" style="156" customWidth="1"/>
    <col min="3" max="3" width="11.625" style="156" customWidth="1"/>
    <col min="4" max="4" width="13.00390625" style="156" hidden="1" customWidth="1"/>
    <col min="5" max="5" width="11.625" style="156" hidden="1" customWidth="1"/>
    <col min="6" max="6" width="15.625" style="156" customWidth="1"/>
    <col min="7" max="7" width="13.875" style="156" customWidth="1"/>
    <col min="8" max="8" width="16.00390625" style="156" hidden="1" customWidth="1"/>
    <col min="9" max="9" width="17.25390625" style="156" hidden="1" customWidth="1"/>
    <col min="10" max="10" width="15.625" style="156" customWidth="1"/>
    <col min="11" max="11" width="17.00390625" style="156" customWidth="1"/>
    <col min="12" max="12" width="9.375" style="156" hidden="1" customWidth="1"/>
    <col min="13" max="13" width="9.25390625" style="156" hidden="1" customWidth="1"/>
    <col min="14" max="14" width="11.75390625" style="156" customWidth="1"/>
    <col min="15" max="15" width="12.125" style="156" customWidth="1"/>
    <col min="16" max="16" width="10.125" style="156" hidden="1" customWidth="1"/>
    <col min="17" max="17" width="10.625" style="156" hidden="1" customWidth="1"/>
    <col min="18" max="18" width="10.625" style="157" hidden="1" customWidth="1"/>
    <col min="19" max="19" width="11.125" style="156" customWidth="1"/>
    <col min="20" max="20" width="12.125" style="156" customWidth="1"/>
    <col min="21" max="21" width="11.00390625" style="156" customWidth="1"/>
    <col min="22" max="22" width="14.00390625" style="156" bestFit="1" customWidth="1"/>
    <col min="23" max="23" width="15.875" style="156" bestFit="1" customWidth="1"/>
    <col min="24" max="16384" width="9.125" style="156" customWidth="1"/>
  </cols>
  <sheetData>
    <row r="1" spans="18:21" ht="12.75">
      <c r="R1" s="216"/>
      <c r="S1" s="216"/>
      <c r="T1" s="216"/>
      <c r="U1" s="216" t="s">
        <v>198</v>
      </c>
    </row>
    <row r="2" ht="12.75">
      <c r="R2" s="216"/>
    </row>
    <row r="3" ht="12.75">
      <c r="R3" s="216"/>
    </row>
    <row r="4" ht="12.75">
      <c r="R4" s="216"/>
    </row>
    <row r="5" spans="1:18" ht="34.5" customHeight="1">
      <c r="A5" s="315"/>
      <c r="B5" s="437" t="s">
        <v>206</v>
      </c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227"/>
      <c r="R5" s="227"/>
    </row>
    <row r="6" spans="1:18" ht="21" customHeight="1">
      <c r="A6" s="218"/>
      <c r="B6" s="219"/>
      <c r="C6" s="219"/>
      <c r="D6" s="212"/>
      <c r="E6" s="212"/>
      <c r="F6" s="212"/>
      <c r="G6" s="212"/>
      <c r="H6" s="219"/>
      <c r="I6" s="219"/>
      <c r="J6" s="219"/>
      <c r="K6" s="219"/>
      <c r="L6" s="212"/>
      <c r="M6" s="212"/>
      <c r="N6" s="212"/>
      <c r="O6" s="212"/>
      <c r="P6" s="212"/>
      <c r="Q6" s="212"/>
      <c r="R6" s="212"/>
    </row>
    <row r="7" spans="1:21" s="158" customFormat="1" ht="32.25" customHeight="1">
      <c r="A7" s="438"/>
      <c r="B7" s="438"/>
      <c r="C7" s="438" t="s">
        <v>222</v>
      </c>
      <c r="D7" s="441" t="s">
        <v>113</v>
      </c>
      <c r="E7" s="442"/>
      <c r="F7" s="442"/>
      <c r="G7" s="443"/>
      <c r="H7" s="444" t="s">
        <v>71</v>
      </c>
      <c r="I7" s="445"/>
      <c r="J7" s="445"/>
      <c r="K7" s="446"/>
      <c r="L7" s="441" t="s">
        <v>72</v>
      </c>
      <c r="M7" s="442"/>
      <c r="N7" s="442"/>
      <c r="O7" s="443"/>
      <c r="P7" s="436" t="s">
        <v>73</v>
      </c>
      <c r="Q7" s="436"/>
      <c r="R7" s="431" t="s">
        <v>208</v>
      </c>
      <c r="S7" s="436" t="s">
        <v>73</v>
      </c>
      <c r="T7" s="436"/>
      <c r="U7" s="431" t="s">
        <v>231</v>
      </c>
    </row>
    <row r="8" spans="1:21" s="159" customFormat="1" ht="12.75" hidden="1">
      <c r="A8" s="439"/>
      <c r="B8" s="439"/>
      <c r="C8" s="440"/>
      <c r="D8" s="433">
        <v>2007</v>
      </c>
      <c r="E8" s="434"/>
      <c r="F8" s="433">
        <v>2008</v>
      </c>
      <c r="G8" s="434"/>
      <c r="H8" s="433">
        <v>2007</v>
      </c>
      <c r="I8" s="434"/>
      <c r="J8" s="433">
        <v>2008</v>
      </c>
      <c r="K8" s="434"/>
      <c r="L8" s="433" t="s">
        <v>111</v>
      </c>
      <c r="M8" s="434"/>
      <c r="N8" s="433">
        <v>2008</v>
      </c>
      <c r="O8" s="434"/>
      <c r="P8" s="435" t="s">
        <v>111</v>
      </c>
      <c r="Q8" s="435"/>
      <c r="R8" s="431"/>
      <c r="S8" s="435">
        <v>2008</v>
      </c>
      <c r="T8" s="435"/>
      <c r="U8" s="431"/>
    </row>
    <row r="9" spans="1:21" s="158" customFormat="1" ht="33.75">
      <c r="A9" s="440"/>
      <c r="B9" s="440"/>
      <c r="C9" s="316"/>
      <c r="D9" s="317" t="s">
        <v>89</v>
      </c>
      <c r="E9" s="317" t="s">
        <v>88</v>
      </c>
      <c r="F9" s="317" t="s">
        <v>89</v>
      </c>
      <c r="G9" s="317" t="s">
        <v>88</v>
      </c>
      <c r="H9" s="317" t="s">
        <v>89</v>
      </c>
      <c r="I9" s="317" t="s">
        <v>88</v>
      </c>
      <c r="J9" s="317" t="s">
        <v>89</v>
      </c>
      <c r="K9" s="317" t="s">
        <v>88</v>
      </c>
      <c r="L9" s="317" t="s">
        <v>89</v>
      </c>
      <c r="M9" s="317" t="s">
        <v>88</v>
      </c>
      <c r="N9" s="317" t="s">
        <v>89</v>
      </c>
      <c r="O9" s="317" t="s">
        <v>88</v>
      </c>
      <c r="P9" s="317" t="s">
        <v>89</v>
      </c>
      <c r="Q9" s="317" t="s">
        <v>88</v>
      </c>
      <c r="R9" s="431"/>
      <c r="S9" s="317" t="s">
        <v>89</v>
      </c>
      <c r="T9" s="317" t="s">
        <v>88</v>
      </c>
      <c r="U9" s="431"/>
    </row>
    <row r="10" spans="1:23" ht="12.75">
      <c r="A10" s="160" t="s">
        <v>47</v>
      </c>
      <c r="B10" s="432" t="s">
        <v>75</v>
      </c>
      <c r="C10" s="161">
        <v>1133798</v>
      </c>
      <c r="D10" s="196">
        <v>914870555</v>
      </c>
      <c r="E10" s="196"/>
      <c r="F10" s="264">
        <f>4736446.5+791130200+243008628.44</f>
        <v>1038875274.94</v>
      </c>
      <c r="G10" s="264"/>
      <c r="H10" s="264">
        <f>978+10406266.56+946162.14</f>
        <v>11353406.700000001</v>
      </c>
      <c r="I10" s="264"/>
      <c r="J10" s="264">
        <f>367771.7+8056300+5701100</f>
        <v>14125171.7</v>
      </c>
      <c r="K10" s="166"/>
      <c r="L10" s="331">
        <f aca="true" t="shared" si="0" ref="L10:M49">D10/H10</f>
        <v>80.5811488282191</v>
      </c>
      <c r="M10" s="331"/>
      <c r="N10" s="332">
        <f aca="true" t="shared" si="1" ref="N10:O49">F10/J10</f>
        <v>73.54779800234216</v>
      </c>
      <c r="O10" s="238"/>
      <c r="P10" s="239"/>
      <c r="Q10" s="239"/>
      <c r="R10" s="236">
        <f>SUM(P10:Q10)</f>
        <v>0</v>
      </c>
      <c r="S10" s="239"/>
      <c r="T10" s="239"/>
      <c r="U10" s="236">
        <f>SUM(S10:T10)</f>
        <v>0</v>
      </c>
      <c r="W10" s="319">
        <f>J10+K10</f>
        <v>14125171.7</v>
      </c>
    </row>
    <row r="11" spans="1:23" ht="12.75">
      <c r="A11" s="160" t="s">
        <v>48</v>
      </c>
      <c r="B11" s="428"/>
      <c r="C11" s="161">
        <v>721752</v>
      </c>
      <c r="D11" s="196">
        <v>685587248</v>
      </c>
      <c r="E11" s="196"/>
      <c r="F11" s="264">
        <v>758383659</v>
      </c>
      <c r="G11" s="236"/>
      <c r="H11" s="236">
        <v>28593863</v>
      </c>
      <c r="I11" s="236"/>
      <c r="J11" s="264">
        <v>29016521</v>
      </c>
      <c r="K11" s="318"/>
      <c r="L11" s="237">
        <f t="shared" si="0"/>
        <v>23.97672703404923</v>
      </c>
      <c r="M11" s="237"/>
      <c r="N11" s="332">
        <f t="shared" si="1"/>
        <v>26.136271091906572</v>
      </c>
      <c r="O11" s="238"/>
      <c r="P11" s="239">
        <f>($L$13-L11)*H11/1000</f>
        <v>437373.03180814325</v>
      </c>
      <c r="Q11" s="239"/>
      <c r="R11" s="236">
        <f aca="true" t="shared" si="2" ref="R11:R23">SUM(P11:Q11)</f>
        <v>437373.03180814325</v>
      </c>
      <c r="S11" s="239">
        <f>($N$13-N11)*J11/1000</f>
        <v>400569.4530659173</v>
      </c>
      <c r="T11" s="239"/>
      <c r="U11" s="236">
        <f>SUM(S11:T11)</f>
        <v>400569.4530659173</v>
      </c>
      <c r="W11" s="319">
        <f aca="true" t="shared" si="3" ref="W11:W50">J11+K11</f>
        <v>29016521</v>
      </c>
    </row>
    <row r="12" spans="1:23" ht="12.75">
      <c r="A12" s="160" t="s">
        <v>49</v>
      </c>
      <c r="B12" s="428"/>
      <c r="C12" s="161">
        <v>179414</v>
      </c>
      <c r="D12" s="196">
        <v>157191000</v>
      </c>
      <c r="E12" s="196"/>
      <c r="F12" s="264">
        <v>54898000</v>
      </c>
      <c r="G12" s="236"/>
      <c r="H12" s="236">
        <v>4807625</v>
      </c>
      <c r="I12" s="236"/>
      <c r="J12" s="264">
        <v>3230459.9</v>
      </c>
      <c r="K12" s="318"/>
      <c r="L12" s="237">
        <f t="shared" si="0"/>
        <v>32.696185746600456</v>
      </c>
      <c r="M12" s="237"/>
      <c r="N12" s="332">
        <f t="shared" si="1"/>
        <v>16.99386517690562</v>
      </c>
      <c r="O12" s="238"/>
      <c r="P12" s="239"/>
      <c r="Q12" s="239"/>
      <c r="R12" s="236">
        <f t="shared" si="2"/>
        <v>0</v>
      </c>
      <c r="S12" s="239">
        <f>($N$13-N12)*J12/1000</f>
        <v>74130.27167009967</v>
      </c>
      <c r="T12" s="239"/>
      <c r="U12" s="236">
        <f>SUM(S12:T12)</f>
        <v>74130.27167009967</v>
      </c>
      <c r="W12" s="319">
        <f t="shared" si="3"/>
        <v>3230459.9</v>
      </c>
    </row>
    <row r="13" spans="1:23" ht="16.5" customHeight="1">
      <c r="A13" s="228"/>
      <c r="B13" s="229"/>
      <c r="C13" s="240"/>
      <c r="D13" s="241">
        <f>SUM(D10:D12)</f>
        <v>1757648803</v>
      </c>
      <c r="E13" s="241"/>
      <c r="F13" s="241">
        <f>SUM(F10:F12)</f>
        <v>1852156933.94</v>
      </c>
      <c r="G13" s="242"/>
      <c r="H13" s="243">
        <f>SUM(H10:H12)</f>
        <v>44754894.7</v>
      </c>
      <c r="I13" s="243"/>
      <c r="J13" s="243">
        <f>SUM(J10:J12)</f>
        <v>46372152.6</v>
      </c>
      <c r="K13" s="242"/>
      <c r="L13" s="230">
        <f t="shared" si="0"/>
        <v>39.272772615863175</v>
      </c>
      <c r="M13" s="230"/>
      <c r="N13" s="230">
        <f t="shared" si="1"/>
        <v>39.94114635817014</v>
      </c>
      <c r="O13" s="244"/>
      <c r="P13" s="245"/>
      <c r="Q13" s="245"/>
      <c r="R13" s="246">
        <f t="shared" si="2"/>
        <v>0</v>
      </c>
      <c r="S13" s="245"/>
      <c r="T13" s="245"/>
      <c r="U13" s="246">
        <f>SUM(S13:T13)</f>
        <v>0</v>
      </c>
      <c r="W13" s="319"/>
    </row>
    <row r="14" spans="1:23" ht="12.75">
      <c r="A14" s="160" t="s">
        <v>50</v>
      </c>
      <c r="B14" s="165"/>
      <c r="C14" s="161">
        <v>112309</v>
      </c>
      <c r="D14" s="247">
        <v>330932334</v>
      </c>
      <c r="E14" s="196"/>
      <c r="F14" s="264">
        <v>363145738</v>
      </c>
      <c r="G14" s="236"/>
      <c r="H14" s="248">
        <v>33892254</v>
      </c>
      <c r="I14" s="236"/>
      <c r="J14" s="264">
        <v>21027876.25</v>
      </c>
      <c r="K14" s="236"/>
      <c r="L14" s="237">
        <f t="shared" si="0"/>
        <v>9.764246839410562</v>
      </c>
      <c r="M14" s="237"/>
      <c r="N14" s="332">
        <f t="shared" si="1"/>
        <v>17.26972965232283</v>
      </c>
      <c r="O14" s="238"/>
      <c r="P14" s="249"/>
      <c r="Q14" s="318"/>
      <c r="R14" s="236"/>
      <c r="S14" s="250"/>
      <c r="T14" s="318"/>
      <c r="U14" s="236">
        <f aca="true" t="shared" si="4" ref="U14:U21">SUM(S14:T14)</f>
        <v>0</v>
      </c>
      <c r="W14" s="319">
        <f t="shared" si="3"/>
        <v>21027876.25</v>
      </c>
    </row>
    <row r="15" spans="1:23" ht="12.75">
      <c r="A15" s="164" t="s">
        <v>51</v>
      </c>
      <c r="B15" s="428" t="s">
        <v>76</v>
      </c>
      <c r="C15" s="161">
        <v>73375</v>
      </c>
      <c r="D15" s="196">
        <v>10501228</v>
      </c>
      <c r="E15" s="251"/>
      <c r="F15" s="327">
        <v>13748602</v>
      </c>
      <c r="G15" s="252"/>
      <c r="H15" s="236">
        <v>2691325</v>
      </c>
      <c r="I15" s="252"/>
      <c r="J15" s="327">
        <v>4744436</v>
      </c>
      <c r="K15" s="318"/>
      <c r="L15" s="237">
        <f t="shared" si="0"/>
        <v>3.9018803005954315</v>
      </c>
      <c r="M15" s="237"/>
      <c r="N15" s="332">
        <f t="shared" si="1"/>
        <v>2.897836961021289</v>
      </c>
      <c r="O15" s="238"/>
      <c r="P15" s="250"/>
      <c r="Q15" s="250"/>
      <c r="R15" s="236">
        <f t="shared" si="2"/>
        <v>0</v>
      </c>
      <c r="S15" s="250">
        <f aca="true" t="shared" si="5" ref="S15:S20">($N$21-N15)*J15/1000</f>
        <v>25592.623594346274</v>
      </c>
      <c r="T15" s="250"/>
      <c r="U15" s="236">
        <f t="shared" si="4"/>
        <v>25592.623594346274</v>
      </c>
      <c r="W15" s="319">
        <f t="shared" si="3"/>
        <v>4744436</v>
      </c>
    </row>
    <row r="16" spans="1:23" ht="12.75">
      <c r="A16" s="160" t="s">
        <v>52</v>
      </c>
      <c r="B16" s="428"/>
      <c r="C16" s="161">
        <v>47709</v>
      </c>
      <c r="D16" s="196">
        <v>13070585.72</v>
      </c>
      <c r="E16" s="196"/>
      <c r="F16" s="264">
        <v>21597070</v>
      </c>
      <c r="G16" s="236"/>
      <c r="H16" s="236">
        <v>3092138.5</v>
      </c>
      <c r="I16" s="236"/>
      <c r="J16" s="264">
        <v>3433000</v>
      </c>
      <c r="K16" s="318"/>
      <c r="L16" s="237">
        <f t="shared" si="0"/>
        <v>4.227037605204295</v>
      </c>
      <c r="M16" s="237"/>
      <c r="N16" s="332">
        <f t="shared" si="1"/>
        <v>6.291019516457909</v>
      </c>
      <c r="O16" s="238"/>
      <c r="P16" s="250"/>
      <c r="Q16" s="250"/>
      <c r="R16" s="236">
        <f t="shared" si="2"/>
        <v>0</v>
      </c>
      <c r="S16" s="250">
        <f t="shared" si="5"/>
        <v>6869.628141863597</v>
      </c>
      <c r="T16" s="250"/>
      <c r="U16" s="236">
        <f t="shared" si="4"/>
        <v>6869.628141863597</v>
      </c>
      <c r="W16" s="319">
        <f t="shared" si="3"/>
        <v>3433000</v>
      </c>
    </row>
    <row r="17" spans="1:23" ht="12.75">
      <c r="A17" s="160" t="s">
        <v>53</v>
      </c>
      <c r="B17" s="428"/>
      <c r="C17" s="161">
        <v>62553</v>
      </c>
      <c r="D17" s="196">
        <v>11462730.68</v>
      </c>
      <c r="E17" s="196"/>
      <c r="F17" s="264">
        <v>37669517</v>
      </c>
      <c r="G17" s="264"/>
      <c r="H17" s="264">
        <v>961002.6</v>
      </c>
      <c r="I17" s="264"/>
      <c r="J17" s="264">
        <v>2267200</v>
      </c>
      <c r="K17" s="166"/>
      <c r="L17" s="331">
        <f t="shared" si="0"/>
        <v>11.927887271064614</v>
      </c>
      <c r="M17" s="331"/>
      <c r="N17" s="332">
        <f t="shared" si="1"/>
        <v>16.614995148200425</v>
      </c>
      <c r="O17" s="238"/>
      <c r="P17" s="250"/>
      <c r="Q17" s="250"/>
      <c r="R17" s="236">
        <f t="shared" si="2"/>
        <v>0</v>
      </c>
      <c r="S17" s="250"/>
      <c r="T17" s="250"/>
      <c r="U17" s="236">
        <f t="shared" si="4"/>
        <v>0</v>
      </c>
      <c r="W17" s="319">
        <f t="shared" si="3"/>
        <v>2267200</v>
      </c>
    </row>
    <row r="18" spans="1:23" ht="12.75">
      <c r="A18" s="160" t="s">
        <v>54</v>
      </c>
      <c r="B18" s="428"/>
      <c r="C18" s="161">
        <v>27800</v>
      </c>
      <c r="D18" s="196">
        <v>2159255</v>
      </c>
      <c r="E18" s="196"/>
      <c r="F18" s="264">
        <v>2964799</v>
      </c>
      <c r="G18" s="236"/>
      <c r="H18" s="236">
        <v>902350</v>
      </c>
      <c r="I18" s="236"/>
      <c r="J18" s="264">
        <v>742614</v>
      </c>
      <c r="K18" s="318"/>
      <c r="L18" s="237">
        <f t="shared" si="0"/>
        <v>2.3929240316950184</v>
      </c>
      <c r="M18" s="237"/>
      <c r="N18" s="332">
        <f t="shared" si="1"/>
        <v>3.992382314365202</v>
      </c>
      <c r="O18" s="238"/>
      <c r="P18" s="250"/>
      <c r="Q18" s="250"/>
      <c r="R18" s="236">
        <f t="shared" si="2"/>
        <v>0</v>
      </c>
      <c r="S18" s="250">
        <f t="shared" si="5"/>
        <v>3193.0129935688597</v>
      </c>
      <c r="T18" s="250"/>
      <c r="U18" s="236">
        <f t="shared" si="4"/>
        <v>3193.0129935688597</v>
      </c>
      <c r="W18" s="319">
        <f t="shared" si="3"/>
        <v>742614</v>
      </c>
    </row>
    <row r="19" spans="1:23" ht="12.75">
      <c r="A19" s="160" t="s">
        <v>55</v>
      </c>
      <c r="B19" s="428"/>
      <c r="C19" s="161">
        <v>50787</v>
      </c>
      <c r="D19" s="196">
        <v>13779100</v>
      </c>
      <c r="E19" s="196"/>
      <c r="F19" s="264">
        <v>11896122</v>
      </c>
      <c r="G19" s="236"/>
      <c r="H19" s="236">
        <v>527220.8</v>
      </c>
      <c r="I19" s="236"/>
      <c r="J19" s="264">
        <v>849700</v>
      </c>
      <c r="K19" s="318"/>
      <c r="L19" s="237">
        <f t="shared" si="0"/>
        <v>26.13534974340921</v>
      </c>
      <c r="M19" s="237"/>
      <c r="N19" s="332">
        <f t="shared" si="1"/>
        <v>14.00037895727904</v>
      </c>
      <c r="O19" s="238"/>
      <c r="P19" s="250"/>
      <c r="Q19" s="250"/>
      <c r="R19" s="236">
        <f t="shared" si="2"/>
        <v>0</v>
      </c>
      <c r="S19" s="250"/>
      <c r="T19" s="250"/>
      <c r="U19" s="236">
        <f t="shared" si="4"/>
        <v>0</v>
      </c>
      <c r="W19" s="319">
        <f t="shared" si="3"/>
        <v>849700</v>
      </c>
    </row>
    <row r="20" spans="1:23" ht="12.75">
      <c r="A20" s="163" t="s">
        <v>56</v>
      </c>
      <c r="B20" s="428"/>
      <c r="C20" s="161">
        <v>29101</v>
      </c>
      <c r="D20" s="247">
        <v>5803230.02</v>
      </c>
      <c r="E20" s="247"/>
      <c r="F20" s="330">
        <v>12639900.81</v>
      </c>
      <c r="G20" s="330"/>
      <c r="H20" s="330">
        <v>21334446.25</v>
      </c>
      <c r="I20" s="330"/>
      <c r="J20" s="330">
        <v>22851415.8</v>
      </c>
      <c r="K20" s="166"/>
      <c r="L20" s="331">
        <f t="shared" si="0"/>
        <v>0.2720122168626711</v>
      </c>
      <c r="M20" s="331"/>
      <c r="N20" s="332">
        <f>F20/J20</f>
        <v>0.55313425306453</v>
      </c>
      <c r="O20" s="333"/>
      <c r="P20" s="250">
        <f>($L$21-L20)*H20/1000</f>
        <v>35245.551621425504</v>
      </c>
      <c r="Q20" s="253"/>
      <c r="R20" s="236">
        <f t="shared" si="2"/>
        <v>35245.551621425504</v>
      </c>
      <c r="S20" s="250">
        <f t="shared" si="5"/>
        <v>176845.78392428852</v>
      </c>
      <c r="T20" s="253"/>
      <c r="U20" s="236">
        <f t="shared" si="4"/>
        <v>176845.78392428852</v>
      </c>
      <c r="W20" s="319">
        <f t="shared" si="3"/>
        <v>22851415.8</v>
      </c>
    </row>
    <row r="21" spans="1:23" ht="19.5" customHeight="1">
      <c r="A21" s="228"/>
      <c r="B21" s="231"/>
      <c r="C21" s="232"/>
      <c r="D21" s="241">
        <f>SUM(D15:D20)</f>
        <v>56776129.42</v>
      </c>
      <c r="E21" s="241"/>
      <c r="F21" s="241">
        <f>SUM(F14:F20)</f>
        <v>463661748.81</v>
      </c>
      <c r="G21" s="242"/>
      <c r="H21" s="243">
        <f>SUM(H15:H20)</f>
        <v>29508483.15</v>
      </c>
      <c r="I21" s="243"/>
      <c r="J21" s="243">
        <f>SUM(J14:J20)</f>
        <v>55916242.05</v>
      </c>
      <c r="K21" s="242"/>
      <c r="L21" s="230">
        <f t="shared" si="0"/>
        <v>1.9240612650738709</v>
      </c>
      <c r="M21" s="230"/>
      <c r="N21" s="230">
        <f>F21/J21</f>
        <v>8.292076359412642</v>
      </c>
      <c r="O21" s="244"/>
      <c r="P21" s="254"/>
      <c r="Q21" s="254"/>
      <c r="R21" s="246">
        <f t="shared" si="2"/>
        <v>0</v>
      </c>
      <c r="S21" s="254"/>
      <c r="T21" s="254"/>
      <c r="U21" s="246">
        <f t="shared" si="4"/>
        <v>0</v>
      </c>
      <c r="W21" s="319"/>
    </row>
    <row r="22" spans="1:23" ht="12.75">
      <c r="A22" s="164" t="s">
        <v>24</v>
      </c>
      <c r="B22" s="432" t="s">
        <v>77</v>
      </c>
      <c r="C22" s="161">
        <v>82277</v>
      </c>
      <c r="D22" s="251">
        <v>33249776</v>
      </c>
      <c r="E22" s="251">
        <v>26833</v>
      </c>
      <c r="F22" s="327">
        <f>59745000-G22</f>
        <v>59022000</v>
      </c>
      <c r="G22" s="327">
        <v>723000</v>
      </c>
      <c r="H22" s="252">
        <v>3315475</v>
      </c>
      <c r="I22" s="252">
        <v>294858</v>
      </c>
      <c r="J22" s="327">
        <f>6469000-K22</f>
        <v>3791000</v>
      </c>
      <c r="K22" s="327">
        <v>2678000</v>
      </c>
      <c r="L22" s="255">
        <f t="shared" si="0"/>
        <v>10.028661353199768</v>
      </c>
      <c r="M22" s="255">
        <f t="shared" si="0"/>
        <v>0.09100312692889459</v>
      </c>
      <c r="N22" s="328">
        <f t="shared" si="1"/>
        <v>15.568979161171194</v>
      </c>
      <c r="O22" s="329">
        <f t="shared" si="1"/>
        <v>0.26997759522031367</v>
      </c>
      <c r="P22" s="250"/>
      <c r="Q22" s="256">
        <f>($M$24-M22)*I22/1000</f>
        <v>21.320812826226902</v>
      </c>
      <c r="R22" s="236">
        <f>P22+Q22</f>
        <v>21.320812826226902</v>
      </c>
      <c r="S22" s="250">
        <f>($N$24-N22)*J22/1000</f>
        <v>4102.820248531724</v>
      </c>
      <c r="T22" s="256"/>
      <c r="U22" s="236">
        <f>S22+T22</f>
        <v>4102.820248531724</v>
      </c>
      <c r="W22" s="319">
        <f t="shared" si="3"/>
        <v>6469000</v>
      </c>
    </row>
    <row r="23" spans="1:23" ht="12.75">
      <c r="A23" s="160" t="s">
        <v>39</v>
      </c>
      <c r="B23" s="428"/>
      <c r="C23" s="161">
        <v>53543</v>
      </c>
      <c r="D23" s="196">
        <v>11669397</v>
      </c>
      <c r="E23" s="196">
        <v>835934</v>
      </c>
      <c r="F23" s="264">
        <f>13934000-G23</f>
        <v>13291000</v>
      </c>
      <c r="G23" s="264">
        <v>643000</v>
      </c>
      <c r="H23" s="236">
        <v>12212203</v>
      </c>
      <c r="I23" s="236">
        <v>4988083</v>
      </c>
      <c r="J23" s="264">
        <v>551801.8</v>
      </c>
      <c r="K23" s="264">
        <v>19540120</v>
      </c>
      <c r="L23" s="328">
        <f t="shared" si="0"/>
        <v>0.9555521636841444</v>
      </c>
      <c r="M23" s="328">
        <f t="shared" si="0"/>
        <v>0.1675862250086857</v>
      </c>
      <c r="N23" s="328">
        <f t="shared" si="1"/>
        <v>24.086547017425456</v>
      </c>
      <c r="O23" s="329">
        <f t="shared" si="1"/>
        <v>0.032906655639781124</v>
      </c>
      <c r="P23" s="250">
        <f>($L$24-L23)*H23/1000</f>
        <v>23658.61915722061</v>
      </c>
      <c r="Q23" s="250"/>
      <c r="R23" s="236">
        <f t="shared" si="2"/>
        <v>23658.61915722061</v>
      </c>
      <c r="S23" s="250"/>
      <c r="T23" s="256"/>
      <c r="U23" s="236">
        <f>SUM(S23:T23)</f>
        <v>0</v>
      </c>
      <c r="W23" s="319">
        <f t="shared" si="3"/>
        <v>20091921.8</v>
      </c>
    </row>
    <row r="24" spans="1:23" ht="18" customHeight="1">
      <c r="A24" s="228"/>
      <c r="B24" s="231"/>
      <c r="C24" s="232"/>
      <c r="D24" s="241">
        <f aca="true" t="shared" si="6" ref="D24:K24">SUM(D22:D23)</f>
        <v>44919173</v>
      </c>
      <c r="E24" s="241">
        <f t="shared" si="6"/>
        <v>862767</v>
      </c>
      <c r="F24" s="241">
        <f>SUM(F22:F23)</f>
        <v>72313000</v>
      </c>
      <c r="G24" s="241">
        <f t="shared" si="6"/>
        <v>1366000</v>
      </c>
      <c r="H24" s="243">
        <f t="shared" si="6"/>
        <v>15527678</v>
      </c>
      <c r="I24" s="243">
        <f t="shared" si="6"/>
        <v>5282941</v>
      </c>
      <c r="J24" s="243">
        <f>SUM(J22:J23)</f>
        <v>4342801.8</v>
      </c>
      <c r="K24" s="243">
        <f t="shared" si="6"/>
        <v>22218120</v>
      </c>
      <c r="L24" s="257">
        <f>D24/H24</f>
        <v>2.8928454724524815</v>
      </c>
      <c r="M24" s="257">
        <f>E24/I24</f>
        <v>0.16331187495752839</v>
      </c>
      <c r="N24" s="257">
        <f>F24/J24</f>
        <v>16.65123193050164</v>
      </c>
      <c r="O24" s="257">
        <f>G24/K24</f>
        <v>0.061481349457109785</v>
      </c>
      <c r="P24" s="254"/>
      <c r="Q24" s="254"/>
      <c r="R24" s="246"/>
      <c r="S24" s="254"/>
      <c r="T24" s="254"/>
      <c r="U24" s="246"/>
      <c r="W24" s="319"/>
    </row>
    <row r="25" spans="1:23" ht="12.75">
      <c r="A25" s="164" t="s">
        <v>19</v>
      </c>
      <c r="B25" s="432" t="s">
        <v>78</v>
      </c>
      <c r="C25" s="161">
        <v>40161</v>
      </c>
      <c r="D25" s="251">
        <v>3759930</v>
      </c>
      <c r="E25" s="251">
        <v>1667000</v>
      </c>
      <c r="F25" s="327">
        <f>7094300-G25</f>
        <v>6003400</v>
      </c>
      <c r="G25" s="327">
        <v>1090900</v>
      </c>
      <c r="H25" s="252">
        <v>812820</v>
      </c>
      <c r="I25" s="252">
        <v>38155000</v>
      </c>
      <c r="J25" s="327">
        <f>93165400-K25</f>
        <v>629400</v>
      </c>
      <c r="K25" s="327">
        <v>92536000</v>
      </c>
      <c r="L25" s="255">
        <f t="shared" si="0"/>
        <v>4.625784306488521</v>
      </c>
      <c r="M25" s="255">
        <f t="shared" si="0"/>
        <v>0.04369021098152274</v>
      </c>
      <c r="N25" s="328">
        <f t="shared" si="1"/>
        <v>9.53829043533524</v>
      </c>
      <c r="O25" s="329">
        <f t="shared" si="1"/>
        <v>0.011788925391199101</v>
      </c>
      <c r="P25" s="250"/>
      <c r="Q25" s="250"/>
      <c r="R25" s="236">
        <f aca="true" t="shared" si="7" ref="R25:R50">SUM(P25:Q25)</f>
        <v>0</v>
      </c>
      <c r="S25" s="250"/>
      <c r="T25" s="250"/>
      <c r="U25" s="236">
        <f aca="true" t="shared" si="8" ref="U25:U50">SUM(S25:T25)</f>
        <v>0</v>
      </c>
      <c r="W25" s="319">
        <f t="shared" si="3"/>
        <v>93165400</v>
      </c>
    </row>
    <row r="26" spans="1:23" ht="12.75">
      <c r="A26" s="160" t="s">
        <v>20</v>
      </c>
      <c r="B26" s="428"/>
      <c r="C26" s="161">
        <v>15698</v>
      </c>
      <c r="D26" s="196">
        <v>1111003.93</v>
      </c>
      <c r="E26" s="196">
        <v>258092.52</v>
      </c>
      <c r="F26" s="264">
        <f>2370000-G26</f>
        <v>2100088.7</v>
      </c>
      <c r="G26" s="264">
        <v>269911.3</v>
      </c>
      <c r="H26" s="236">
        <v>869695.8</v>
      </c>
      <c r="I26" s="236">
        <v>61281290</v>
      </c>
      <c r="J26" s="264">
        <f>46770715-K26</f>
        <v>1729378</v>
      </c>
      <c r="K26" s="264">
        <v>45041337</v>
      </c>
      <c r="L26" s="255">
        <f t="shared" si="0"/>
        <v>1.2774626829289044</v>
      </c>
      <c r="M26" s="255">
        <f t="shared" si="0"/>
        <v>0.004211603900635904</v>
      </c>
      <c r="N26" s="328">
        <f t="shared" si="1"/>
        <v>1.2143607123486018</v>
      </c>
      <c r="O26" s="329">
        <f t="shared" si="1"/>
        <v>0.005992524156199004</v>
      </c>
      <c r="P26" s="250">
        <f aca="true" t="shared" si="9" ref="P26:P31">($L$36-L26)*H26/1000</f>
        <v>547.5865489315826</v>
      </c>
      <c r="Q26" s="250">
        <f aca="true" t="shared" si="10" ref="Q26:Q33">($M$36-M26)*I26/1000</f>
        <v>498.8466519135739</v>
      </c>
      <c r="R26" s="236">
        <f t="shared" si="7"/>
        <v>1046.4332008451565</v>
      </c>
      <c r="S26" s="250">
        <f>($N$36-N26)*J26/1000</f>
        <v>1386.851615753676</v>
      </c>
      <c r="T26" s="250">
        <f aca="true" t="shared" si="11" ref="T26:T35">($O$36-O26)*K26/1000</f>
        <v>239.1232975485134</v>
      </c>
      <c r="U26" s="236">
        <f t="shared" si="8"/>
        <v>1625.9749133021894</v>
      </c>
      <c r="W26" s="319">
        <f t="shared" si="3"/>
        <v>46770715</v>
      </c>
    </row>
    <row r="27" spans="1:23" ht="12.75">
      <c r="A27" s="160" t="s">
        <v>23</v>
      </c>
      <c r="B27" s="428"/>
      <c r="C27" s="161">
        <v>24704</v>
      </c>
      <c r="D27" s="196">
        <v>794099</v>
      </c>
      <c r="E27" s="196">
        <v>301142</v>
      </c>
      <c r="F27" s="264">
        <f>3531771-G27</f>
        <v>2746855</v>
      </c>
      <c r="G27" s="264">
        <v>784916</v>
      </c>
      <c r="H27" s="236">
        <v>2844855</v>
      </c>
      <c r="I27" s="236">
        <v>3367249</v>
      </c>
      <c r="J27" s="264">
        <f>56182556-K27</f>
        <v>1356036</v>
      </c>
      <c r="K27" s="264">
        <v>54826520</v>
      </c>
      <c r="L27" s="255">
        <f t="shared" si="0"/>
        <v>0.2791351404553132</v>
      </c>
      <c r="M27" s="255">
        <f t="shared" si="0"/>
        <v>0.08943264961991228</v>
      </c>
      <c r="N27" s="328">
        <f t="shared" si="1"/>
        <v>2.025650498954305</v>
      </c>
      <c r="O27" s="329">
        <f t="shared" si="1"/>
        <v>0.014316356391031201</v>
      </c>
      <c r="P27" s="250">
        <f t="shared" si="9"/>
        <v>4631.303096849159</v>
      </c>
      <c r="Q27" s="250"/>
      <c r="R27" s="236">
        <f t="shared" si="7"/>
        <v>4631.303096849159</v>
      </c>
      <c r="S27" s="250"/>
      <c r="T27" s="250"/>
      <c r="U27" s="236">
        <f t="shared" si="8"/>
        <v>0</v>
      </c>
      <c r="W27" s="319">
        <f t="shared" si="3"/>
        <v>56182556</v>
      </c>
    </row>
    <row r="28" spans="1:23" ht="12.75">
      <c r="A28" s="160" t="s">
        <v>30</v>
      </c>
      <c r="B28" s="428"/>
      <c r="C28" s="161">
        <v>47920</v>
      </c>
      <c r="D28" s="196">
        <v>16041017</v>
      </c>
      <c r="E28" s="196">
        <v>2842089</v>
      </c>
      <c r="F28" s="264">
        <f>23119627.71-G28</f>
        <v>19548344.71</v>
      </c>
      <c r="G28" s="264">
        <v>3571283</v>
      </c>
      <c r="H28" s="236">
        <v>6062903</v>
      </c>
      <c r="I28" s="236">
        <v>284910563</v>
      </c>
      <c r="J28" s="264">
        <f>306532875-K28</f>
        <v>5161626</v>
      </c>
      <c r="K28" s="264">
        <v>301371249</v>
      </c>
      <c r="L28" s="255">
        <f t="shared" si="0"/>
        <v>2.6457650732660576</v>
      </c>
      <c r="M28" s="255">
        <f t="shared" si="0"/>
        <v>0.009975372517164273</v>
      </c>
      <c r="N28" s="328">
        <f t="shared" si="1"/>
        <v>3.787245474584947</v>
      </c>
      <c r="O28" s="329">
        <f t="shared" si="1"/>
        <v>0.0118501118200562</v>
      </c>
      <c r="P28" s="250">
        <f t="shared" si="9"/>
        <v>-4478.499174243307</v>
      </c>
      <c r="Q28" s="250">
        <f t="shared" si="10"/>
        <v>677.0922317699274</v>
      </c>
      <c r="R28" s="236">
        <f t="shared" si="7"/>
        <v>-3801.4069424733793</v>
      </c>
      <c r="S28" s="250"/>
      <c r="T28" s="250"/>
      <c r="U28" s="236">
        <f t="shared" si="8"/>
        <v>0</v>
      </c>
      <c r="W28" s="319">
        <f t="shared" si="3"/>
        <v>306532875</v>
      </c>
    </row>
    <row r="29" spans="1:23" ht="12.75">
      <c r="A29" s="160" t="s">
        <v>32</v>
      </c>
      <c r="B29" s="428"/>
      <c r="C29" s="161">
        <v>18250</v>
      </c>
      <c r="D29" s="196">
        <v>517101</v>
      </c>
      <c r="E29" s="196">
        <v>675067</v>
      </c>
      <c r="F29" s="264">
        <f>10348653-G29</f>
        <v>8743248</v>
      </c>
      <c r="G29" s="264">
        <v>1605405</v>
      </c>
      <c r="H29" s="236">
        <v>68232</v>
      </c>
      <c r="I29" s="236">
        <v>451772047</v>
      </c>
      <c r="J29" s="264">
        <v>2359936</v>
      </c>
      <c r="K29" s="264">
        <v>235367962</v>
      </c>
      <c r="L29" s="255">
        <f t="shared" si="0"/>
        <v>7.578570172353148</v>
      </c>
      <c r="M29" s="255">
        <f t="shared" si="0"/>
        <v>0.0014942646506856587</v>
      </c>
      <c r="N29" s="328">
        <f t="shared" si="1"/>
        <v>3.7048665726528176</v>
      </c>
      <c r="O29" s="329">
        <f t="shared" si="1"/>
        <v>0.006820830610752367</v>
      </c>
      <c r="P29" s="250"/>
      <c r="Q29" s="250">
        <f t="shared" si="10"/>
        <v>4905.16734477114</v>
      </c>
      <c r="R29" s="236">
        <f t="shared" si="7"/>
        <v>4905.16734477114</v>
      </c>
      <c r="S29" s="250"/>
      <c r="T29" s="250">
        <f t="shared" si="11"/>
        <v>1054.6056433892893</v>
      </c>
      <c r="U29" s="236">
        <f t="shared" si="8"/>
        <v>1054.6056433892893</v>
      </c>
      <c r="W29" s="319">
        <f t="shared" si="3"/>
        <v>237727898</v>
      </c>
    </row>
    <row r="30" spans="1:23" ht="12.75">
      <c r="A30" s="160" t="s">
        <v>34</v>
      </c>
      <c r="B30" s="428"/>
      <c r="C30" s="161">
        <v>31672</v>
      </c>
      <c r="D30" s="196">
        <v>12370273.14</v>
      </c>
      <c r="E30" s="196">
        <v>284655.01</v>
      </c>
      <c r="F30" s="264">
        <f>17291504.92-G30</f>
        <v>16903573.03</v>
      </c>
      <c r="G30" s="264">
        <v>387931.89</v>
      </c>
      <c r="H30" s="236">
        <v>5094452.1</v>
      </c>
      <c r="I30" s="236">
        <v>8378416.2</v>
      </c>
      <c r="J30" s="264">
        <f>36525160.86-K30</f>
        <v>1209322.8599999994</v>
      </c>
      <c r="K30" s="264">
        <v>35315838</v>
      </c>
      <c r="L30" s="255">
        <f t="shared" si="0"/>
        <v>2.428185189924546</v>
      </c>
      <c r="M30" s="255">
        <f t="shared" si="0"/>
        <v>0.03397479943763118</v>
      </c>
      <c r="N30" s="328">
        <f t="shared" si="1"/>
        <v>13.97771727394619</v>
      </c>
      <c r="O30" s="329">
        <f t="shared" si="1"/>
        <v>0.010984643490549482</v>
      </c>
      <c r="P30" s="250">
        <f t="shared" si="9"/>
        <v>-2654.6809197857538</v>
      </c>
      <c r="Q30" s="250"/>
      <c r="R30" s="236">
        <f t="shared" si="7"/>
        <v>-2654.6809197857538</v>
      </c>
      <c r="S30" s="250"/>
      <c r="T30" s="250">
        <f t="shared" si="11"/>
        <v>11.189996266797426</v>
      </c>
      <c r="U30" s="236">
        <f t="shared" si="8"/>
        <v>11.189996266797426</v>
      </c>
      <c r="W30" s="319">
        <f t="shared" si="3"/>
        <v>36525160.86</v>
      </c>
    </row>
    <row r="31" spans="1:23" ht="12.75">
      <c r="A31" s="163" t="s">
        <v>36</v>
      </c>
      <c r="B31" s="428"/>
      <c r="C31" s="161">
        <v>27985</v>
      </c>
      <c r="D31" s="247">
        <v>2138453.2</v>
      </c>
      <c r="E31" s="247">
        <v>202316.03</v>
      </c>
      <c r="F31" s="330">
        <f>4803983-G31</f>
        <v>4198560</v>
      </c>
      <c r="G31" s="330">
        <v>605423</v>
      </c>
      <c r="H31" s="248">
        <v>1325377</v>
      </c>
      <c r="I31" s="248">
        <v>59839953</v>
      </c>
      <c r="J31" s="330">
        <f>76019102-K31</f>
        <v>1960456</v>
      </c>
      <c r="K31" s="330">
        <f>74058646</f>
        <v>74058646</v>
      </c>
      <c r="L31" s="255">
        <f t="shared" si="0"/>
        <v>1.6134678661241293</v>
      </c>
      <c r="M31" s="255">
        <f t="shared" si="0"/>
        <v>0.003380952354691856</v>
      </c>
      <c r="N31" s="328">
        <f t="shared" si="1"/>
        <v>2.1416241935549687</v>
      </c>
      <c r="O31" s="329">
        <f t="shared" si="1"/>
        <v>0.008174913162738622</v>
      </c>
      <c r="P31" s="250">
        <f t="shared" si="9"/>
        <v>389.1635519664967</v>
      </c>
      <c r="Q31" s="250">
        <f t="shared" si="10"/>
        <v>536.8199195070548</v>
      </c>
      <c r="R31" s="236">
        <f t="shared" si="7"/>
        <v>925.9834714735515</v>
      </c>
      <c r="S31" s="250"/>
      <c r="T31" s="250">
        <f t="shared" si="11"/>
        <v>231.5506684680968</v>
      </c>
      <c r="U31" s="236">
        <f t="shared" si="8"/>
        <v>231.5506684680968</v>
      </c>
      <c r="W31" s="319">
        <f t="shared" si="3"/>
        <v>76019102</v>
      </c>
    </row>
    <row r="32" spans="1:23" ht="12.75">
      <c r="A32" s="160" t="s">
        <v>29</v>
      </c>
      <c r="B32" s="428"/>
      <c r="C32" s="161">
        <v>29056</v>
      </c>
      <c r="D32" s="196">
        <v>6439557</v>
      </c>
      <c r="E32" s="196">
        <v>5858968</v>
      </c>
      <c r="F32" s="264">
        <f>28260681-G32</f>
        <v>25392302</v>
      </c>
      <c r="G32" s="264">
        <v>2868379</v>
      </c>
      <c r="H32" s="236">
        <v>1876321</v>
      </c>
      <c r="I32" s="236">
        <v>40464771</v>
      </c>
      <c r="J32" s="264">
        <f>102754800-K32</f>
        <v>40395698</v>
      </c>
      <c r="K32" s="264">
        <v>62359102</v>
      </c>
      <c r="L32" s="255">
        <f t="shared" si="0"/>
        <v>3.4320124328406494</v>
      </c>
      <c r="M32" s="255">
        <f t="shared" si="0"/>
        <v>0.14479182397943138</v>
      </c>
      <c r="N32" s="328">
        <f t="shared" si="1"/>
        <v>0.6285892621536086</v>
      </c>
      <c r="O32" s="329">
        <f t="shared" si="1"/>
        <v>0.04599775987794051</v>
      </c>
      <c r="P32" s="250"/>
      <c r="Q32" s="250"/>
      <c r="R32" s="236">
        <f t="shared" si="7"/>
        <v>0</v>
      </c>
      <c r="S32" s="250">
        <f>($N$36-N32)*J32/1000</f>
        <v>56057.43769786256</v>
      </c>
      <c r="T32" s="250"/>
      <c r="U32" s="236">
        <f t="shared" si="8"/>
        <v>56057.43769786256</v>
      </c>
      <c r="W32" s="319">
        <f t="shared" si="3"/>
        <v>102754800</v>
      </c>
    </row>
    <row r="33" spans="1:23" ht="12.75">
      <c r="A33" s="163" t="s">
        <v>33</v>
      </c>
      <c r="B33" s="428"/>
      <c r="C33" s="161">
        <v>51952</v>
      </c>
      <c r="D33" s="247">
        <v>9261833.76</v>
      </c>
      <c r="E33" s="247">
        <v>967854.54</v>
      </c>
      <c r="F33" s="330">
        <f>14453249.36-G33</f>
        <v>12680522.989999998</v>
      </c>
      <c r="G33" s="330">
        <v>1772726.37</v>
      </c>
      <c r="H33" s="248">
        <v>2461523</v>
      </c>
      <c r="I33" s="248">
        <v>147680777</v>
      </c>
      <c r="J33" s="330">
        <f>177456355-K33</f>
        <v>3613656.080000013</v>
      </c>
      <c r="K33" s="330">
        <v>173842698.92</v>
      </c>
      <c r="L33" s="255">
        <f t="shared" si="0"/>
        <v>3.7626435991051066</v>
      </c>
      <c r="M33" s="255">
        <f t="shared" si="0"/>
        <v>0.006553693443798715</v>
      </c>
      <c r="N33" s="328">
        <f t="shared" si="1"/>
        <v>3.509056398637679</v>
      </c>
      <c r="O33" s="329">
        <f t="shared" si="1"/>
        <v>0.010197301244246008</v>
      </c>
      <c r="P33" s="250"/>
      <c r="Q33" s="250">
        <f t="shared" si="10"/>
        <v>856.2807719350649</v>
      </c>
      <c r="R33" s="236">
        <f t="shared" si="7"/>
        <v>856.2807719350649</v>
      </c>
      <c r="S33" s="250"/>
      <c r="T33" s="250">
        <f t="shared" si="11"/>
        <v>191.95661180157435</v>
      </c>
      <c r="U33" s="236">
        <f t="shared" si="8"/>
        <v>191.95661180157435</v>
      </c>
      <c r="W33" s="319">
        <f t="shared" si="3"/>
        <v>177456355</v>
      </c>
    </row>
    <row r="34" spans="1:23" ht="12.75">
      <c r="A34" s="163" t="s">
        <v>40</v>
      </c>
      <c r="B34" s="430"/>
      <c r="C34" s="161">
        <v>25633</v>
      </c>
      <c r="D34" s="247">
        <v>24344168.9</v>
      </c>
      <c r="E34" s="247">
        <v>774211.74</v>
      </c>
      <c r="F34" s="330">
        <f>9749644.8-G34</f>
        <v>9259213.98</v>
      </c>
      <c r="G34" s="330">
        <v>490430.82</v>
      </c>
      <c r="H34" s="248">
        <v>1983255</v>
      </c>
      <c r="I34" s="248">
        <v>20490939</v>
      </c>
      <c r="J34" s="330">
        <f>48487290-K34</f>
        <v>10652723</v>
      </c>
      <c r="K34" s="330">
        <v>37834567</v>
      </c>
      <c r="L34" s="255">
        <f t="shared" si="0"/>
        <v>12.274855679173882</v>
      </c>
      <c r="M34" s="255">
        <f t="shared" si="0"/>
        <v>0.03778312648336906</v>
      </c>
      <c r="N34" s="328">
        <f t="shared" si="1"/>
        <v>0.869187528859992</v>
      </c>
      <c r="O34" s="329">
        <f t="shared" si="1"/>
        <v>0.01296250648249787</v>
      </c>
      <c r="P34" s="250"/>
      <c r="Q34" s="250"/>
      <c r="R34" s="236">
        <f t="shared" si="7"/>
        <v>0</v>
      </c>
      <c r="S34" s="250">
        <f>($N$36-N34)*J34/1000</f>
        <v>12219.843404363888</v>
      </c>
      <c r="T34" s="250"/>
      <c r="U34" s="236">
        <f t="shared" si="8"/>
        <v>12219.843404363888</v>
      </c>
      <c r="W34" s="319">
        <f t="shared" si="3"/>
        <v>48487290</v>
      </c>
    </row>
    <row r="35" spans="1:23" ht="12.75">
      <c r="A35" s="160" t="s">
        <v>38</v>
      </c>
      <c r="B35" s="321"/>
      <c r="C35" s="161">
        <v>44636</v>
      </c>
      <c r="D35" s="196">
        <v>36356299.97</v>
      </c>
      <c r="E35" s="196">
        <v>29875.6</v>
      </c>
      <c r="F35" s="264">
        <f>41209700-G35</f>
        <v>39947312.33</v>
      </c>
      <c r="G35" s="264">
        <v>1262387.67</v>
      </c>
      <c r="H35" s="236">
        <v>16859457.78</v>
      </c>
      <c r="I35" s="236">
        <v>3439567.7</v>
      </c>
      <c r="J35" s="264">
        <f>193113602.8-K35</f>
        <v>4097275.700000018</v>
      </c>
      <c r="K35" s="264">
        <v>189016327.1</v>
      </c>
      <c r="L35" s="255">
        <f>D35/H35</f>
        <v>2.1564335249932336</v>
      </c>
      <c r="M35" s="255">
        <f>E35/I35</f>
        <v>0.008685858981638884</v>
      </c>
      <c r="N35" s="328">
        <f>F35/J35</f>
        <v>9.749725245484415</v>
      </c>
      <c r="O35" s="329">
        <f>G35/K35</f>
        <v>0.006678722887955217</v>
      </c>
      <c r="P35" s="250">
        <f>($L$24-L35)*H35/1000</f>
        <v>12415.50613687677</v>
      </c>
      <c r="Q35" s="250">
        <f>($M$24-M35)*I35/1000</f>
        <v>531.8466501303536</v>
      </c>
      <c r="R35" s="236">
        <f t="shared" si="7"/>
        <v>12947.352787007123</v>
      </c>
      <c r="S35" s="250"/>
      <c r="T35" s="250">
        <f t="shared" si="11"/>
        <v>873.7800462346817</v>
      </c>
      <c r="U35" s="236">
        <f>SUM(S35:T35)</f>
        <v>873.7800462346817</v>
      </c>
      <c r="V35" s="319"/>
      <c r="W35" s="319">
        <f t="shared" si="3"/>
        <v>193113602.8</v>
      </c>
    </row>
    <row r="36" spans="1:23" ht="20.25" customHeight="1">
      <c r="A36" s="228"/>
      <c r="B36" s="231"/>
      <c r="C36" s="232"/>
      <c r="D36" s="241">
        <f>SUM(D25:D34)</f>
        <v>76777436.93</v>
      </c>
      <c r="E36" s="241">
        <f>SUM(E25:E34)</f>
        <v>13831395.839999998</v>
      </c>
      <c r="F36" s="241">
        <f aca="true" t="shared" si="12" ref="F36:K36">SUM(F25:F35)</f>
        <v>147523420.74</v>
      </c>
      <c r="G36" s="241">
        <f t="shared" si="12"/>
        <v>14709694.049999999</v>
      </c>
      <c r="H36" s="241">
        <f t="shared" si="12"/>
        <v>40258891.68</v>
      </c>
      <c r="I36" s="241">
        <f t="shared" si="12"/>
        <v>1119780572.9</v>
      </c>
      <c r="J36" s="243">
        <f t="shared" si="12"/>
        <v>73165507.64000003</v>
      </c>
      <c r="K36" s="243">
        <f t="shared" si="12"/>
        <v>1301570247.02</v>
      </c>
      <c r="L36" s="257">
        <f t="shared" si="0"/>
        <v>1.9070926626661673</v>
      </c>
      <c r="M36" s="257">
        <f t="shared" si="0"/>
        <v>0.012351880515465225</v>
      </c>
      <c r="N36" s="257">
        <f>F36/J36</f>
        <v>2.016297371513733</v>
      </c>
      <c r="O36" s="257">
        <f t="shared" si="1"/>
        <v>0.01130149838910229</v>
      </c>
      <c r="P36" s="258"/>
      <c r="Q36" s="258"/>
      <c r="R36" s="246">
        <f t="shared" si="7"/>
        <v>0</v>
      </c>
      <c r="S36" s="258"/>
      <c r="T36" s="258"/>
      <c r="U36" s="246">
        <f t="shared" si="8"/>
        <v>0</v>
      </c>
      <c r="W36" s="319"/>
    </row>
    <row r="37" spans="1:23" ht="12.75">
      <c r="A37" s="164" t="s">
        <v>18</v>
      </c>
      <c r="B37" s="428" t="s">
        <v>80</v>
      </c>
      <c r="C37" s="161">
        <v>12184</v>
      </c>
      <c r="D37" s="251">
        <v>535672.29</v>
      </c>
      <c r="E37" s="251">
        <v>212076.27</v>
      </c>
      <c r="F37" s="327">
        <f>1524052.66-G37</f>
        <v>1372103.13</v>
      </c>
      <c r="G37" s="327">
        <v>151949.53</v>
      </c>
      <c r="H37" s="252">
        <v>1184388</v>
      </c>
      <c r="I37" s="252">
        <v>80891000</v>
      </c>
      <c r="J37" s="327">
        <f>155888640-K37</f>
        <v>3053250</v>
      </c>
      <c r="K37" s="327">
        <v>152835390</v>
      </c>
      <c r="L37" s="255">
        <f t="shared" si="0"/>
        <v>0.4522777079808306</v>
      </c>
      <c r="M37" s="255">
        <f t="shared" si="0"/>
        <v>0.0026217535943430046</v>
      </c>
      <c r="N37" s="328">
        <f t="shared" si="1"/>
        <v>0.44939101940555143</v>
      </c>
      <c r="O37" s="329">
        <f t="shared" si="1"/>
        <v>0.0009942038293617728</v>
      </c>
      <c r="P37" s="250">
        <f>($L$51-L37)*H37/1000</f>
        <v>2844.8568921198707</v>
      </c>
      <c r="Q37" s="250">
        <f>($M$51-M37)*I37/1000</f>
        <v>1993.1292845908856</v>
      </c>
      <c r="R37" s="236">
        <f t="shared" si="7"/>
        <v>4837.986176710756</v>
      </c>
      <c r="S37" s="250">
        <f>($N$51-N37)*J37/1000</f>
        <v>11393.484219779823</v>
      </c>
      <c r="T37" s="250">
        <f>($O$51-O37)*K37/1000</f>
        <v>7916.505226478046</v>
      </c>
      <c r="U37" s="236">
        <f>SUM(S37:T37)</f>
        <v>19309.989446257867</v>
      </c>
      <c r="W37" s="319">
        <f t="shared" si="3"/>
        <v>155888640</v>
      </c>
    </row>
    <row r="38" spans="1:23" ht="12.75">
      <c r="A38" s="160" t="s">
        <v>57</v>
      </c>
      <c r="B38" s="429"/>
      <c r="C38" s="161">
        <v>20389</v>
      </c>
      <c r="D38" s="196">
        <v>3309833</v>
      </c>
      <c r="E38" s="196">
        <v>1173333</v>
      </c>
      <c r="F38" s="264">
        <v>932549</v>
      </c>
      <c r="G38" s="264">
        <f>27845646-F38</f>
        <v>26913097</v>
      </c>
      <c r="H38" s="236">
        <v>663500</v>
      </c>
      <c r="I38" s="236">
        <v>374232200</v>
      </c>
      <c r="J38" s="264">
        <f>429455690-K38</f>
        <v>331390</v>
      </c>
      <c r="K38" s="264">
        <v>429124300</v>
      </c>
      <c r="L38" s="255">
        <f t="shared" si="0"/>
        <v>4.988444611906556</v>
      </c>
      <c r="M38" s="255">
        <f t="shared" si="0"/>
        <v>0.0031353074374679676</v>
      </c>
      <c r="N38" s="328">
        <f t="shared" si="1"/>
        <v>2.814052928573584</v>
      </c>
      <c r="O38" s="329">
        <f t="shared" si="1"/>
        <v>0.06271632018974456</v>
      </c>
      <c r="P38" s="250"/>
      <c r="Q38" s="250">
        <f aca="true" t="shared" si="13" ref="Q38:Q50">($M$51-M38)*I38/1000</f>
        <v>9028.777570357237</v>
      </c>
      <c r="R38" s="236">
        <f t="shared" si="7"/>
        <v>9028.777570357237</v>
      </c>
      <c r="S38" s="250"/>
      <c r="T38" s="250"/>
      <c r="U38" s="236">
        <f t="shared" si="8"/>
        <v>0</v>
      </c>
      <c r="W38" s="319">
        <f t="shared" si="3"/>
        <v>429455690</v>
      </c>
    </row>
    <row r="39" spans="1:23" ht="12.75" customHeight="1">
      <c r="A39" s="160" t="s">
        <v>58</v>
      </c>
      <c r="B39" s="429"/>
      <c r="C39" s="161">
        <v>18281</v>
      </c>
      <c r="D39" s="196">
        <v>3069163.15</v>
      </c>
      <c r="E39" s="196">
        <v>1104263.17</v>
      </c>
      <c r="F39" s="264">
        <f>15458326.3-G39</f>
        <v>430764.47000000067</v>
      </c>
      <c r="G39" s="264">
        <v>15027561.83</v>
      </c>
      <c r="H39" s="236">
        <v>797459.26</v>
      </c>
      <c r="I39" s="236">
        <v>389660423.33</v>
      </c>
      <c r="J39" s="264">
        <f>324006867.238-K39</f>
        <v>1042634.3379999995</v>
      </c>
      <c r="K39" s="264">
        <v>322964232.9</v>
      </c>
      <c r="L39" s="255">
        <f t="shared" si="0"/>
        <v>3.848677047150973</v>
      </c>
      <c r="M39" s="255">
        <f t="shared" si="0"/>
        <v>0.002833911539085942</v>
      </c>
      <c r="N39" s="328">
        <f t="shared" si="1"/>
        <v>0.4131500894420004</v>
      </c>
      <c r="O39" s="329">
        <f t="shared" si="1"/>
        <v>0.046530111693987526</v>
      </c>
      <c r="P39" s="250"/>
      <c r="Q39" s="250">
        <f t="shared" si="13"/>
        <v>9518.443063469136</v>
      </c>
      <c r="R39" s="236">
        <f t="shared" si="7"/>
        <v>9518.443063469136</v>
      </c>
      <c r="S39" s="250">
        <f>($N$51-N39)*J39/1000</f>
        <v>3928.4723155953006</v>
      </c>
      <c r="T39" s="250">
        <f aca="true" t="shared" si="14" ref="T39:T49">($O$51-O39)*K39/1000</f>
        <v>2022.3001235324136</v>
      </c>
      <c r="U39" s="236">
        <f t="shared" si="8"/>
        <v>5950.772439127714</v>
      </c>
      <c r="W39" s="319">
        <f t="shared" si="3"/>
        <v>324006867.238</v>
      </c>
    </row>
    <row r="40" spans="1:23" ht="12.75">
      <c r="A40" s="160" t="s">
        <v>26</v>
      </c>
      <c r="B40" s="429"/>
      <c r="C40" s="161">
        <v>14002</v>
      </c>
      <c r="D40" s="196">
        <v>1507411.36</v>
      </c>
      <c r="E40" s="196">
        <v>20547012.02</v>
      </c>
      <c r="F40" s="264">
        <f>21790196-G40</f>
        <v>21572330</v>
      </c>
      <c r="G40" s="264">
        <v>217866</v>
      </c>
      <c r="H40" s="236">
        <v>1292570.15</v>
      </c>
      <c r="I40" s="236">
        <v>5482317.08</v>
      </c>
      <c r="J40" s="264">
        <f>32246465.59-K40</f>
        <v>1553723.5899999999</v>
      </c>
      <c r="K40" s="264">
        <v>30692742</v>
      </c>
      <c r="L40" s="255">
        <f t="shared" si="0"/>
        <v>1.1662124179488442</v>
      </c>
      <c r="M40" s="255">
        <f t="shared" si="0"/>
        <v>3.7478700557027977</v>
      </c>
      <c r="N40" s="328">
        <f t="shared" si="1"/>
        <v>13.884277833485172</v>
      </c>
      <c r="O40" s="329">
        <f t="shared" si="1"/>
        <v>0.007098290533964023</v>
      </c>
      <c r="P40" s="250">
        <f>($L$51-L40)*H40/1000</f>
        <v>2181.895785979238</v>
      </c>
      <c r="Q40" s="250"/>
      <c r="R40" s="236">
        <f t="shared" si="7"/>
        <v>2181.895785979238</v>
      </c>
      <c r="S40" s="250"/>
      <c r="T40" s="250">
        <f t="shared" si="14"/>
        <v>1402.4589795695451</v>
      </c>
      <c r="U40" s="236">
        <f t="shared" si="8"/>
        <v>1402.4589795695451</v>
      </c>
      <c r="W40" s="319">
        <f t="shared" si="3"/>
        <v>32246465.59</v>
      </c>
    </row>
    <row r="41" spans="1:23" ht="12.75">
      <c r="A41" s="160" t="s">
        <v>28</v>
      </c>
      <c r="B41" s="429"/>
      <c r="C41" s="161">
        <v>14899</v>
      </c>
      <c r="D41" s="196">
        <v>1540349</v>
      </c>
      <c r="E41" s="196">
        <v>21677</v>
      </c>
      <c r="F41" s="264">
        <f>7416803-G41</f>
        <v>3536272</v>
      </c>
      <c r="G41" s="264">
        <v>3880531</v>
      </c>
      <c r="H41" s="236">
        <v>269097</v>
      </c>
      <c r="I41" s="236">
        <v>78180000</v>
      </c>
      <c r="J41" s="264">
        <f>78637335-K41</f>
        <v>510676</v>
      </c>
      <c r="K41" s="264">
        <v>78126659</v>
      </c>
      <c r="L41" s="255">
        <f t="shared" si="0"/>
        <v>5.724140365741722</v>
      </c>
      <c r="M41" s="255">
        <f t="shared" si="0"/>
        <v>0.00027727040163724737</v>
      </c>
      <c r="N41" s="328">
        <f t="shared" si="1"/>
        <v>6.924688060531531</v>
      </c>
      <c r="O41" s="329">
        <f t="shared" si="1"/>
        <v>0.04966974205309355</v>
      </c>
      <c r="P41" s="250"/>
      <c r="Q41" s="250">
        <f t="shared" si="13"/>
        <v>2109.6227769580723</v>
      </c>
      <c r="R41" s="236">
        <f t="shared" si="7"/>
        <v>2109.6227769580723</v>
      </c>
      <c r="S41" s="250"/>
      <c r="T41" s="250">
        <f t="shared" si="14"/>
        <v>243.91565738928904</v>
      </c>
      <c r="U41" s="236">
        <f t="shared" si="8"/>
        <v>243.91565738928904</v>
      </c>
      <c r="W41" s="319">
        <f t="shared" si="3"/>
        <v>78637335</v>
      </c>
    </row>
    <row r="42" spans="1:23" ht="12.75">
      <c r="A42" s="160" t="s">
        <v>31</v>
      </c>
      <c r="B42" s="429"/>
      <c r="C42" s="161">
        <v>25766</v>
      </c>
      <c r="D42" s="196">
        <v>1288206.51</v>
      </c>
      <c r="E42" s="196">
        <v>941171</v>
      </c>
      <c r="F42" s="264">
        <f>4729884.27-G42</f>
        <v>1163789.2099999995</v>
      </c>
      <c r="G42" s="264">
        <v>3566095.06</v>
      </c>
      <c r="H42" s="236">
        <v>151759.8</v>
      </c>
      <c r="I42" s="236">
        <v>5074744</v>
      </c>
      <c r="J42" s="264">
        <f>19585973.6-K42</f>
        <v>246667</v>
      </c>
      <c r="K42" s="264">
        <v>19339306.6</v>
      </c>
      <c r="L42" s="255">
        <f t="shared" si="0"/>
        <v>8.48845682453456</v>
      </c>
      <c r="M42" s="255">
        <f t="shared" si="0"/>
        <v>0.1854617691059884</v>
      </c>
      <c r="N42" s="328">
        <f>F42/J42</f>
        <v>4.718057989110823</v>
      </c>
      <c r="O42" s="329">
        <f>G42/K42</f>
        <v>0.18439622132057204</v>
      </c>
      <c r="P42" s="250"/>
      <c r="Q42" s="250"/>
      <c r="R42" s="236">
        <f t="shared" si="7"/>
        <v>0</v>
      </c>
      <c r="S42" s="250"/>
      <c r="T42" s="250"/>
      <c r="U42" s="236">
        <f t="shared" si="8"/>
        <v>0</v>
      </c>
      <c r="W42" s="319">
        <f t="shared" si="3"/>
        <v>19585973.6</v>
      </c>
    </row>
    <row r="43" spans="1:23" ht="12.75">
      <c r="A43" s="160" t="s">
        <v>27</v>
      </c>
      <c r="B43" s="429"/>
      <c r="C43" s="161">
        <v>11378</v>
      </c>
      <c r="D43" s="196">
        <v>2950100</v>
      </c>
      <c r="E43" s="196">
        <v>28800</v>
      </c>
      <c r="F43" s="264">
        <f>5407600-G43</f>
        <v>5384600</v>
      </c>
      <c r="G43" s="264">
        <v>23000</v>
      </c>
      <c r="H43" s="236">
        <v>1025900</v>
      </c>
      <c r="I43" s="236">
        <v>6211000</v>
      </c>
      <c r="J43" s="264">
        <f>2660000-K43</f>
        <v>1080000</v>
      </c>
      <c r="K43" s="264">
        <v>1580000</v>
      </c>
      <c r="L43" s="328">
        <f t="shared" si="0"/>
        <v>2.875621405595087</v>
      </c>
      <c r="M43" s="328">
        <f t="shared" si="0"/>
        <v>0.0046369344710996616</v>
      </c>
      <c r="N43" s="328">
        <f t="shared" si="1"/>
        <v>4.985740740740741</v>
      </c>
      <c r="O43" s="329">
        <f t="shared" si="1"/>
        <v>0.014556962025316455</v>
      </c>
      <c r="P43" s="250"/>
      <c r="Q43" s="250">
        <f t="shared" si="13"/>
        <v>140.52083543983866</v>
      </c>
      <c r="R43" s="236">
        <f t="shared" si="7"/>
        <v>140.52083543983866</v>
      </c>
      <c r="S43" s="250"/>
      <c r="T43" s="250">
        <f t="shared" si="14"/>
        <v>60.41103794896792</v>
      </c>
      <c r="U43" s="236">
        <f t="shared" si="8"/>
        <v>60.41103794896792</v>
      </c>
      <c r="W43" s="319">
        <f t="shared" si="3"/>
        <v>2660000</v>
      </c>
    </row>
    <row r="44" spans="1:23" ht="12.75">
      <c r="A44" s="160" t="s">
        <v>35</v>
      </c>
      <c r="B44" s="429"/>
      <c r="C44" s="161">
        <v>17293</v>
      </c>
      <c r="D44" s="196">
        <v>1013010</v>
      </c>
      <c r="E44" s="196">
        <v>14393843</v>
      </c>
      <c r="F44" s="264">
        <f>32175255.3-G44</f>
        <v>2632595.3000000007</v>
      </c>
      <c r="G44" s="264">
        <v>29542660</v>
      </c>
      <c r="H44" s="236">
        <v>267671</v>
      </c>
      <c r="I44" s="236">
        <v>178846365</v>
      </c>
      <c r="J44" s="264">
        <f>265904010.2-K44</f>
        <v>420000.1999999881</v>
      </c>
      <c r="K44" s="264">
        <v>265484010</v>
      </c>
      <c r="L44" s="255">
        <f t="shared" si="0"/>
        <v>3.784533998826918</v>
      </c>
      <c r="M44" s="255">
        <f t="shared" si="0"/>
        <v>0.08048160777547814</v>
      </c>
      <c r="N44" s="328">
        <f t="shared" si="1"/>
        <v>6.268081062818721</v>
      </c>
      <c r="O44" s="329">
        <f t="shared" si="1"/>
        <v>0.11127849093435044</v>
      </c>
      <c r="P44" s="250"/>
      <c r="Q44" s="250"/>
      <c r="R44" s="236">
        <f t="shared" si="7"/>
        <v>0</v>
      </c>
      <c r="S44" s="250"/>
      <c r="T44" s="250"/>
      <c r="U44" s="236">
        <f t="shared" si="8"/>
        <v>0</v>
      </c>
      <c r="W44" s="319">
        <f t="shared" si="3"/>
        <v>265904010.2</v>
      </c>
    </row>
    <row r="45" spans="1:23" ht="12.75">
      <c r="A45" s="160" t="s">
        <v>37</v>
      </c>
      <c r="B45" s="429"/>
      <c r="C45" s="161">
        <v>23865</v>
      </c>
      <c r="D45" s="196">
        <v>624888</v>
      </c>
      <c r="E45" s="196">
        <v>1085726</v>
      </c>
      <c r="F45" s="264">
        <f>971000-G45</f>
        <v>238668</v>
      </c>
      <c r="G45" s="264">
        <v>732332</v>
      </c>
      <c r="H45" s="264">
        <v>310208</v>
      </c>
      <c r="I45" s="264">
        <v>189623192</v>
      </c>
      <c r="J45" s="264">
        <f>187727100-K45</f>
        <v>537453</v>
      </c>
      <c r="K45" s="264">
        <v>187189647</v>
      </c>
      <c r="L45" s="328">
        <f t="shared" si="0"/>
        <v>2.014416133690943</v>
      </c>
      <c r="M45" s="328">
        <f t="shared" si="0"/>
        <v>0.005725702581781241</v>
      </c>
      <c r="N45" s="328">
        <f t="shared" si="1"/>
        <v>0.4440723188818371</v>
      </c>
      <c r="O45" s="329">
        <f t="shared" si="1"/>
        <v>0.003912246279304111</v>
      </c>
      <c r="P45" s="250">
        <f>($L$51-L45)*H45/1000</f>
        <v>260.52049495861206</v>
      </c>
      <c r="Q45" s="250">
        <f t="shared" si="13"/>
        <v>4083.6762360664848</v>
      </c>
      <c r="R45" s="236">
        <f t="shared" si="7"/>
        <v>4344.196731025097</v>
      </c>
      <c r="S45" s="250">
        <f>($N$51-N45)*J45/1000</f>
        <v>2008.4140332109114</v>
      </c>
      <c r="T45" s="250">
        <f t="shared" si="14"/>
        <v>9149.745689601843</v>
      </c>
      <c r="U45" s="236">
        <f t="shared" si="8"/>
        <v>11158.159722812754</v>
      </c>
      <c r="W45" s="319">
        <f t="shared" si="3"/>
        <v>187727100</v>
      </c>
    </row>
    <row r="46" spans="1:23" ht="12.75">
      <c r="A46" s="160" t="s">
        <v>41</v>
      </c>
      <c r="B46" s="429"/>
      <c r="C46" s="161">
        <v>14819</v>
      </c>
      <c r="D46" s="196">
        <v>453770.31</v>
      </c>
      <c r="E46" s="196">
        <v>668804.86</v>
      </c>
      <c r="F46" s="264">
        <f>3770616-G46</f>
        <v>1559915</v>
      </c>
      <c r="G46" s="264">
        <v>2210701</v>
      </c>
      <c r="H46" s="236">
        <v>119423.16</v>
      </c>
      <c r="I46" s="236">
        <v>72338500</v>
      </c>
      <c r="J46" s="264">
        <f>91452846-K46</f>
        <v>292846</v>
      </c>
      <c r="K46" s="264">
        <v>91160000</v>
      </c>
      <c r="L46" s="255">
        <f t="shared" si="0"/>
        <v>3.7996843325867444</v>
      </c>
      <c r="M46" s="255">
        <f t="shared" si="0"/>
        <v>0.009245489746124125</v>
      </c>
      <c r="N46" s="328">
        <f t="shared" si="1"/>
        <v>5.326741700415918</v>
      </c>
      <c r="O46" s="329">
        <f t="shared" si="1"/>
        <v>0.02425077885037297</v>
      </c>
      <c r="P46" s="250"/>
      <c r="Q46" s="250">
        <f t="shared" si="13"/>
        <v>1303.2471854781468</v>
      </c>
      <c r="R46" s="236">
        <f t="shared" si="7"/>
        <v>1303.2471854781468</v>
      </c>
      <c r="S46" s="250"/>
      <c r="T46" s="250">
        <f t="shared" si="14"/>
        <v>2601.799138878428</v>
      </c>
      <c r="U46" s="236">
        <f t="shared" si="8"/>
        <v>2601.799138878428</v>
      </c>
      <c r="W46" s="319">
        <f t="shared" si="3"/>
        <v>91452846</v>
      </c>
    </row>
    <row r="47" spans="1:23" ht="12.75">
      <c r="A47" s="160" t="s">
        <v>42</v>
      </c>
      <c r="B47" s="429"/>
      <c r="C47" s="161">
        <v>17273</v>
      </c>
      <c r="D47" s="196">
        <v>490626</v>
      </c>
      <c r="E47" s="196">
        <v>81840</v>
      </c>
      <c r="F47" s="264">
        <f>6106842-G47</f>
        <v>2770178</v>
      </c>
      <c r="G47" s="264">
        <v>3336664</v>
      </c>
      <c r="H47" s="236">
        <v>265973</v>
      </c>
      <c r="I47" s="236">
        <v>100244370</v>
      </c>
      <c r="J47" s="264">
        <f>100573312-K47</f>
        <v>110772</v>
      </c>
      <c r="K47" s="264">
        <v>100462540</v>
      </c>
      <c r="L47" s="255">
        <f t="shared" si="0"/>
        <v>1.844645885108639</v>
      </c>
      <c r="M47" s="255">
        <f t="shared" si="0"/>
        <v>0.000816404951220702</v>
      </c>
      <c r="N47" s="328">
        <f>F47/J47</f>
        <v>25.00792619073412</v>
      </c>
      <c r="O47" s="329">
        <f t="shared" si="1"/>
        <v>0.03321301651341883</v>
      </c>
      <c r="P47" s="250">
        <f>($L$51-L47)*H47/1000</f>
        <v>268.5251296601859</v>
      </c>
      <c r="Q47" s="250">
        <f t="shared" si="13"/>
        <v>2650.966388108244</v>
      </c>
      <c r="R47" s="236">
        <f t="shared" si="7"/>
        <v>2919.4915177684297</v>
      </c>
      <c r="S47" s="250"/>
      <c r="T47" s="250">
        <f t="shared" si="14"/>
        <v>1966.933934423866</v>
      </c>
      <c r="U47" s="236">
        <f t="shared" si="8"/>
        <v>1966.933934423866</v>
      </c>
      <c r="W47" s="319">
        <f t="shared" si="3"/>
        <v>100573312</v>
      </c>
    </row>
    <row r="48" spans="1:23" ht="12.75">
      <c r="A48" s="160" t="s">
        <v>43</v>
      </c>
      <c r="B48" s="429"/>
      <c r="C48" s="161">
        <v>17107</v>
      </c>
      <c r="D48" s="196">
        <v>896323.26</v>
      </c>
      <c r="E48" s="196">
        <v>170.97</v>
      </c>
      <c r="F48" s="264">
        <f>5750301-G48</f>
        <v>1031352</v>
      </c>
      <c r="G48" s="264">
        <v>4718949</v>
      </c>
      <c r="H48" s="236">
        <v>259598.98</v>
      </c>
      <c r="I48" s="236">
        <v>1151652</v>
      </c>
      <c r="J48" s="264">
        <f>50880121-K48</f>
        <v>150917</v>
      </c>
      <c r="K48" s="264">
        <v>50729204</v>
      </c>
      <c r="L48" s="255">
        <f t="shared" si="0"/>
        <v>3.4527225800347905</v>
      </c>
      <c r="M48" s="255">
        <f t="shared" si="0"/>
        <v>0.00014845630450865366</v>
      </c>
      <c r="N48" s="328">
        <f t="shared" si="1"/>
        <v>6.833902078626</v>
      </c>
      <c r="O48" s="329">
        <f t="shared" si="1"/>
        <v>0.09302233482709486</v>
      </c>
      <c r="P48" s="250"/>
      <c r="Q48" s="250">
        <f t="shared" si="13"/>
        <v>31.224727758164725</v>
      </c>
      <c r="R48" s="236">
        <f t="shared" si="7"/>
        <v>31.224727758164725</v>
      </c>
      <c r="S48" s="250"/>
      <c r="T48" s="250"/>
      <c r="U48" s="236">
        <f t="shared" si="8"/>
        <v>0</v>
      </c>
      <c r="W48" s="319">
        <f t="shared" si="3"/>
        <v>50880121</v>
      </c>
    </row>
    <row r="49" spans="1:23" ht="12.75">
      <c r="A49" s="160" t="s">
        <v>44</v>
      </c>
      <c r="B49" s="429"/>
      <c r="C49" s="161">
        <v>20878</v>
      </c>
      <c r="D49" s="196">
        <v>4583787.64</v>
      </c>
      <c r="E49" s="196">
        <v>403394.3</v>
      </c>
      <c r="F49" s="264">
        <f>4547761.8-G49</f>
        <v>4003173.84</v>
      </c>
      <c r="G49" s="264">
        <v>544587.96</v>
      </c>
      <c r="H49" s="236">
        <v>1249289.3</v>
      </c>
      <c r="I49" s="236">
        <v>4873172.5</v>
      </c>
      <c r="J49" s="264">
        <f>39880726.81-K49</f>
        <v>1412878.9100000039</v>
      </c>
      <c r="K49" s="264">
        <v>38467847.9</v>
      </c>
      <c r="L49" s="255">
        <f t="shared" si="0"/>
        <v>3.6691162247207267</v>
      </c>
      <c r="M49" s="255">
        <f t="shared" si="0"/>
        <v>0.08277858007283756</v>
      </c>
      <c r="N49" s="328">
        <f t="shared" si="1"/>
        <v>2.833345314780011</v>
      </c>
      <c r="O49" s="329">
        <f t="shared" si="1"/>
        <v>0.014156964575083494</v>
      </c>
      <c r="P49" s="250"/>
      <c r="Q49" s="250"/>
      <c r="R49" s="236">
        <f t="shared" si="7"/>
        <v>0</v>
      </c>
      <c r="S49" s="250"/>
      <c r="T49" s="250">
        <f t="shared" si="14"/>
        <v>1486.1988254443202</v>
      </c>
      <c r="U49" s="236">
        <f t="shared" si="8"/>
        <v>1486.1988254443202</v>
      </c>
      <c r="W49" s="319">
        <f t="shared" si="3"/>
        <v>39880726.81</v>
      </c>
    </row>
    <row r="50" spans="1:23" ht="12.75">
      <c r="A50" s="160" t="s">
        <v>25</v>
      </c>
      <c r="B50" s="430"/>
      <c r="C50" s="161">
        <v>9922</v>
      </c>
      <c r="D50" s="196">
        <v>494540.93</v>
      </c>
      <c r="E50" s="196">
        <v>115847.35</v>
      </c>
      <c r="F50" s="264">
        <f>5413003.41-G50</f>
        <v>1302866.8400000003</v>
      </c>
      <c r="G50" s="264">
        <v>4110136.57</v>
      </c>
      <c r="H50" s="236">
        <v>116448</v>
      </c>
      <c r="I50" s="236">
        <v>9001679</v>
      </c>
      <c r="J50" s="264">
        <f>31634890-K50</f>
        <v>720879</v>
      </c>
      <c r="K50" s="264">
        <v>30914011</v>
      </c>
      <c r="L50" s="255">
        <f aca="true" t="shared" si="15" ref="L50:O51">D50/H50</f>
        <v>4.246882127644957</v>
      </c>
      <c r="M50" s="255">
        <f t="shared" si="15"/>
        <v>0.012869526896037951</v>
      </c>
      <c r="N50" s="328">
        <f t="shared" si="15"/>
        <v>1.8073308280585234</v>
      </c>
      <c r="O50" s="329">
        <f t="shared" si="15"/>
        <v>0.1329538431619242</v>
      </c>
      <c r="P50" s="250"/>
      <c r="Q50" s="250">
        <f t="shared" si="13"/>
        <v>129.55142775579642</v>
      </c>
      <c r="R50" s="236">
        <f t="shared" si="7"/>
        <v>129.55142775579642</v>
      </c>
      <c r="S50" s="250"/>
      <c r="T50" s="250"/>
      <c r="U50" s="236">
        <f t="shared" si="8"/>
        <v>0</v>
      </c>
      <c r="W50" s="319">
        <f t="shared" si="3"/>
        <v>31634890</v>
      </c>
    </row>
    <row r="51" spans="1:23" ht="17.25" customHeight="1">
      <c r="A51" s="233"/>
      <c r="B51" s="234"/>
      <c r="C51" s="235"/>
      <c r="D51" s="259">
        <f aca="true" t="shared" si="16" ref="D51:K51">SUM(D37:D50)</f>
        <v>22757681.45</v>
      </c>
      <c r="E51" s="259">
        <f t="shared" si="16"/>
        <v>40777958.94</v>
      </c>
      <c r="F51" s="259">
        <f t="shared" si="16"/>
        <v>47931156.79000001</v>
      </c>
      <c r="G51" s="259">
        <f t="shared" si="16"/>
        <v>94976130.94999999</v>
      </c>
      <c r="H51" s="260">
        <f t="shared" si="16"/>
        <v>7973285.65</v>
      </c>
      <c r="I51" s="260">
        <f t="shared" si="16"/>
        <v>1495810614.9099998</v>
      </c>
      <c r="J51" s="260">
        <f t="shared" si="16"/>
        <v>11464087.037999991</v>
      </c>
      <c r="K51" s="260">
        <f t="shared" si="16"/>
        <v>1799069890.4</v>
      </c>
      <c r="L51" s="257">
        <f t="shared" si="15"/>
        <v>2.8542413314892334</v>
      </c>
      <c r="M51" s="257">
        <f t="shared" si="15"/>
        <v>0.027261445087721572</v>
      </c>
      <c r="N51" s="257">
        <f t="shared" si="15"/>
        <v>4.180983329167223</v>
      </c>
      <c r="O51" s="257">
        <f t="shared" si="15"/>
        <v>0.052791796170232864</v>
      </c>
      <c r="P51" s="261"/>
      <c r="Q51" s="261"/>
      <c r="R51" s="246"/>
      <c r="S51" s="261"/>
      <c r="T51" s="261"/>
      <c r="U51" s="246"/>
      <c r="W51" s="319"/>
    </row>
    <row r="52" spans="1:23" ht="17.25" customHeight="1">
      <c r="A52" s="166" t="s">
        <v>81</v>
      </c>
      <c r="B52" s="166"/>
      <c r="C52" s="262"/>
      <c r="D52" s="262"/>
      <c r="E52" s="262"/>
      <c r="F52" s="262"/>
      <c r="G52" s="262"/>
      <c r="H52" s="318"/>
      <c r="I52" s="318"/>
      <c r="J52" s="318"/>
      <c r="K52" s="318"/>
      <c r="L52" s="318"/>
      <c r="M52" s="318"/>
      <c r="N52" s="318"/>
      <c r="O52" s="318"/>
      <c r="P52" s="263">
        <f>SUM(P10:P50)</f>
        <v>512683.3801301022</v>
      </c>
      <c r="Q52" s="263"/>
      <c r="R52" s="264">
        <f>SUM(R10:R50)</f>
        <v>551699.9140089375</v>
      </c>
      <c r="S52" s="263"/>
      <c r="T52" s="263"/>
      <c r="U52" s="264">
        <f>SUM(U10:U50)</f>
        <v>807750.5718021577</v>
      </c>
      <c r="W52" s="319">
        <f>SUM(W10:W51)</f>
        <v>3314119048.548</v>
      </c>
    </row>
    <row r="54" ht="12.75">
      <c r="K54" s="319">
        <f>SUM(K51,K36,K24)</f>
        <v>3122858257.42</v>
      </c>
    </row>
  </sheetData>
  <sheetProtection/>
  <mergeCells count="24">
    <mergeCell ref="B5:P5"/>
    <mergeCell ref="A7:A9"/>
    <mergeCell ref="B7:B9"/>
    <mergeCell ref="C7:C8"/>
    <mergeCell ref="D7:G7"/>
    <mergeCell ref="H7:K7"/>
    <mergeCell ref="L7:O7"/>
    <mergeCell ref="P7:Q7"/>
    <mergeCell ref="U7:U9"/>
    <mergeCell ref="D8:E8"/>
    <mergeCell ref="F8:G8"/>
    <mergeCell ref="H8:I8"/>
    <mergeCell ref="J8:K8"/>
    <mergeCell ref="L8:M8"/>
    <mergeCell ref="N8:O8"/>
    <mergeCell ref="P8:Q8"/>
    <mergeCell ref="S8:T8"/>
    <mergeCell ref="S7:T7"/>
    <mergeCell ref="B37:B50"/>
    <mergeCell ref="R7:R9"/>
    <mergeCell ref="B10:B12"/>
    <mergeCell ref="B15:B20"/>
    <mergeCell ref="B22:B23"/>
    <mergeCell ref="B25:B34"/>
  </mergeCells>
  <printOptions/>
  <pageMargins left="0.7086614173228347" right="0.7086614173228347" top="0.22" bottom="0.2" header="0.17" footer="0.17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47"/>
  <sheetViews>
    <sheetView zoomScalePageLayoutView="0" workbookViewId="0" topLeftCell="A1">
      <pane xSplit="1" ySplit="7" topLeftCell="K8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S4" sqref="A4:S47"/>
    </sheetView>
  </sheetViews>
  <sheetFormatPr defaultColWidth="9.00390625" defaultRowHeight="12.75"/>
  <cols>
    <col min="1" max="1" width="25.625" style="0" bestFit="1" customWidth="1"/>
    <col min="2" max="2" width="13.25390625" style="0" customWidth="1"/>
    <col min="3" max="3" width="13.00390625" style="0" customWidth="1"/>
    <col min="4" max="4" width="9.625" style="0" customWidth="1"/>
    <col min="5" max="5" width="12.625" style="0" customWidth="1"/>
    <col min="6" max="6" width="13.00390625" style="0" customWidth="1"/>
    <col min="7" max="7" width="13.875" style="0" customWidth="1"/>
    <col min="8" max="8" width="13.375" style="0" customWidth="1"/>
    <col min="9" max="9" width="13.25390625" style="0" customWidth="1"/>
    <col min="10" max="10" width="10.375" style="0" customWidth="1"/>
    <col min="11" max="11" width="13.375" style="0" customWidth="1"/>
    <col min="12" max="12" width="13.25390625" style="0" customWidth="1"/>
    <col min="13" max="13" width="10.25390625" style="0" customWidth="1"/>
    <col min="14" max="15" width="13.00390625" style="0" customWidth="1"/>
    <col min="16" max="16" width="11.125" style="0" customWidth="1"/>
    <col min="17" max="17" width="16.125" style="0" customWidth="1"/>
    <col min="18" max="18" width="13.75390625" style="0" customWidth="1"/>
    <col min="19" max="19" width="12.875" style="0" customWidth="1"/>
  </cols>
  <sheetData>
    <row r="1" ht="12.75">
      <c r="R1" s="220" t="s">
        <v>201</v>
      </c>
    </row>
    <row r="4" spans="1:18" ht="30" customHeight="1">
      <c r="A4" s="372" t="s">
        <v>203</v>
      </c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</row>
    <row r="5" spans="1:18" ht="19.5" customHeight="1">
      <c r="A5" s="224"/>
      <c r="B5" s="224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</row>
    <row r="6" spans="1:19" s="121" customFormat="1" ht="12.75">
      <c r="A6" s="374" t="s">
        <v>0</v>
      </c>
      <c r="B6" s="378" t="s">
        <v>202</v>
      </c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80"/>
    </row>
    <row r="7" spans="1:19" s="307" customFormat="1" ht="37.5" customHeight="1">
      <c r="A7" s="374"/>
      <c r="B7" s="375" t="s">
        <v>2</v>
      </c>
      <c r="C7" s="376"/>
      <c r="D7" s="313" t="s">
        <v>214</v>
      </c>
      <c r="E7" s="375" t="s">
        <v>3</v>
      </c>
      <c r="F7" s="376"/>
      <c r="G7" s="313" t="s">
        <v>214</v>
      </c>
      <c r="H7" s="377" t="s">
        <v>4</v>
      </c>
      <c r="I7" s="376"/>
      <c r="J7" s="313" t="s">
        <v>214</v>
      </c>
      <c r="K7" s="377" t="s">
        <v>5</v>
      </c>
      <c r="L7" s="376"/>
      <c r="M7" s="313" t="s">
        <v>214</v>
      </c>
      <c r="N7" s="377" t="s">
        <v>6</v>
      </c>
      <c r="O7" s="376"/>
      <c r="P7" s="313" t="s">
        <v>214</v>
      </c>
      <c r="Q7" s="377" t="s">
        <v>7</v>
      </c>
      <c r="R7" s="376"/>
      <c r="S7" s="314" t="s">
        <v>214</v>
      </c>
    </row>
    <row r="8" spans="1:19" s="307" customFormat="1" ht="12.75">
      <c r="A8" s="306"/>
      <c r="B8" s="306">
        <v>2008</v>
      </c>
      <c r="C8" s="308">
        <v>2009</v>
      </c>
      <c r="D8" s="310"/>
      <c r="E8" s="306">
        <v>2008</v>
      </c>
      <c r="F8" s="308">
        <v>2009</v>
      </c>
      <c r="G8" s="310"/>
      <c r="H8" s="306">
        <v>2008</v>
      </c>
      <c r="I8" s="308">
        <v>2009</v>
      </c>
      <c r="J8" s="310"/>
      <c r="K8" s="306">
        <v>2008</v>
      </c>
      <c r="L8" s="308">
        <v>2009</v>
      </c>
      <c r="M8" s="310"/>
      <c r="N8" s="306">
        <v>2008</v>
      </c>
      <c r="O8" s="308">
        <v>2009</v>
      </c>
      <c r="P8" s="310"/>
      <c r="Q8" s="306">
        <v>2008</v>
      </c>
      <c r="R8" s="308">
        <v>2009</v>
      </c>
      <c r="S8" s="310"/>
    </row>
    <row r="9" spans="1:19" ht="12.75">
      <c r="A9" s="2" t="s">
        <v>8</v>
      </c>
      <c r="B9" s="69">
        <v>20191.263612110513</v>
      </c>
      <c r="C9" s="69">
        <f>'Имущество физ лиц'!L8</f>
        <v>34473.08094337662</v>
      </c>
      <c r="D9" s="311">
        <f>C9-B9</f>
        <v>14281.817331266106</v>
      </c>
      <c r="E9" s="69"/>
      <c r="F9" s="69"/>
      <c r="G9" s="311">
        <f>F9-E9</f>
        <v>0</v>
      </c>
      <c r="H9" s="69">
        <v>54873.559999999634</v>
      </c>
      <c r="I9" s="69">
        <f>НДФЛ!AD9</f>
        <v>175487.8192156898</v>
      </c>
      <c r="J9" s="311">
        <f>I9-H9</f>
        <v>120614.25921569015</v>
      </c>
      <c r="K9" s="69">
        <v>0</v>
      </c>
      <c r="L9" s="305">
        <f>ЕНВД!H8</f>
        <v>0</v>
      </c>
      <c r="M9" s="312">
        <f>L9-K9</f>
        <v>0</v>
      </c>
      <c r="N9" s="69">
        <v>0</v>
      </c>
      <c r="O9" s="305">
        <f>'Аренда земельных участков'!U10</f>
        <v>0</v>
      </c>
      <c r="P9" s="312">
        <f>O9-N9</f>
        <v>0</v>
      </c>
      <c r="Q9" s="305">
        <f>B9+E9+H9+K9+N9</f>
        <v>75064.82361211015</v>
      </c>
      <c r="R9" s="309">
        <f>C9+F9+I9+L9+O9</f>
        <v>209960.9001590664</v>
      </c>
      <c r="S9" s="279">
        <f>R9-Q9</f>
        <v>134896.07654695626</v>
      </c>
    </row>
    <row r="10" spans="1:19" ht="12.75">
      <c r="A10" s="2" t="s">
        <v>9</v>
      </c>
      <c r="B10" s="69">
        <v>1576.0325462732276</v>
      </c>
      <c r="C10" s="69">
        <f>'Имущество физ лиц'!L15</f>
        <v>8247.660126242665</v>
      </c>
      <c r="D10" s="311">
        <f aca="true" t="shared" si="0" ref="D10:D47">C10-B10</f>
        <v>6671.627579969438</v>
      </c>
      <c r="E10" s="69"/>
      <c r="F10" s="69"/>
      <c r="G10" s="311">
        <f aca="true" t="shared" si="1" ref="G10:G47">F10-E10</f>
        <v>0</v>
      </c>
      <c r="H10" s="69">
        <v>49623.85</v>
      </c>
      <c r="I10" s="69">
        <f>НДФЛ!AD19</f>
        <v>78929.37670000001</v>
      </c>
      <c r="J10" s="311">
        <f aca="true" t="shared" si="2" ref="J10:J47">I10-H10</f>
        <v>29305.52670000001</v>
      </c>
      <c r="K10" s="69">
        <v>8335</v>
      </c>
      <c r="L10" s="69">
        <f>ЕНВД!H22</f>
        <v>11417.89884</v>
      </c>
      <c r="M10" s="312">
        <f aca="true" t="shared" si="3" ref="M10:M47">L10-K10</f>
        <v>3082.89884</v>
      </c>
      <c r="N10" s="69">
        <v>0</v>
      </c>
      <c r="O10" s="305">
        <f>'Аренда земельных участков'!U17</f>
        <v>0</v>
      </c>
      <c r="P10" s="312">
        <f aca="true" t="shared" si="4" ref="P10:P47">O10-N10</f>
        <v>0</v>
      </c>
      <c r="Q10" s="305">
        <f aca="true" t="shared" si="5" ref="Q10:Q46">B10+E10+H10+K10+N10</f>
        <v>59534.88254627323</v>
      </c>
      <c r="R10" s="309">
        <f aca="true" t="shared" si="6" ref="R10:R46">C10+F10+I10+L10+O10</f>
        <v>98594.93566624267</v>
      </c>
      <c r="S10" s="279">
        <f aca="true" t="shared" si="7" ref="S10:S47">R10-Q10</f>
        <v>39060.053119969445</v>
      </c>
    </row>
    <row r="11" spans="1:19" ht="12.75">
      <c r="A11" s="2" t="s">
        <v>10</v>
      </c>
      <c r="B11" s="69">
        <v>6144.539514868963</v>
      </c>
      <c r="C11" s="69">
        <f>'Имущество физ лиц'!L17</f>
        <v>13784.334067457348</v>
      </c>
      <c r="D11" s="311">
        <f t="shared" si="0"/>
        <v>7639.794552588385</v>
      </c>
      <c r="E11" s="69"/>
      <c r="F11" s="69"/>
      <c r="G11" s="311">
        <f t="shared" si="1"/>
        <v>0</v>
      </c>
      <c r="H11" s="69">
        <v>38311.67199999999</v>
      </c>
      <c r="I11" s="69">
        <f>НДФЛ!AD18</f>
        <v>29059.43661</v>
      </c>
      <c r="J11" s="311">
        <f t="shared" si="2"/>
        <v>-9252.23538999999</v>
      </c>
      <c r="K11" s="69">
        <v>7196</v>
      </c>
      <c r="L11" s="69">
        <f>ЕНВД!H16</f>
        <v>4995.899049999999</v>
      </c>
      <c r="M11" s="312">
        <f t="shared" si="3"/>
        <v>-2200.100950000001</v>
      </c>
      <c r="N11" s="69">
        <v>0</v>
      </c>
      <c r="O11" s="305">
        <f>'Аренда земельных участков'!U19</f>
        <v>0</v>
      </c>
      <c r="P11" s="312">
        <f t="shared" si="4"/>
        <v>0</v>
      </c>
      <c r="Q11" s="305">
        <f t="shared" si="5"/>
        <v>51652.211514868955</v>
      </c>
      <c r="R11" s="309">
        <f t="shared" si="6"/>
        <v>47839.669727457345</v>
      </c>
      <c r="S11" s="279">
        <f t="shared" si="7"/>
        <v>-3812.54178741161</v>
      </c>
    </row>
    <row r="12" spans="1:19" ht="12.75">
      <c r="A12" s="2" t="s">
        <v>11</v>
      </c>
      <c r="B12" s="69">
        <v>9234.946442433806</v>
      </c>
      <c r="C12" s="69">
        <f>'Имущество физ лиц'!L11</f>
        <v>13968.59504076517</v>
      </c>
      <c r="D12" s="311">
        <f t="shared" si="0"/>
        <v>4733.648598331365</v>
      </c>
      <c r="E12" s="69"/>
      <c r="F12" s="69"/>
      <c r="G12" s="311">
        <f t="shared" si="1"/>
        <v>0</v>
      </c>
      <c r="H12" s="69">
        <v>0</v>
      </c>
      <c r="I12" s="69">
        <f>НДФЛ!AD10</f>
        <v>111771.48009652004</v>
      </c>
      <c r="J12" s="311">
        <f t="shared" si="2"/>
        <v>111771.48009652004</v>
      </c>
      <c r="K12" s="69">
        <v>4145</v>
      </c>
      <c r="L12" s="69">
        <f>ЕНВД!H13</f>
        <v>1031.8615599999994</v>
      </c>
      <c r="M12" s="312">
        <f t="shared" si="3"/>
        <v>-3113.1384400000006</v>
      </c>
      <c r="N12" s="69">
        <v>0</v>
      </c>
      <c r="O12" s="305">
        <f>'Аренда земельных участков'!U14</f>
        <v>0</v>
      </c>
      <c r="P12" s="312">
        <f t="shared" si="4"/>
        <v>0</v>
      </c>
      <c r="Q12" s="305">
        <f t="shared" si="5"/>
        <v>13379.946442433806</v>
      </c>
      <c r="R12" s="309">
        <f t="shared" si="6"/>
        <v>126771.93669728521</v>
      </c>
      <c r="S12" s="279">
        <f t="shared" si="7"/>
        <v>113391.99025485141</v>
      </c>
    </row>
    <row r="13" spans="1:19" ht="12.75">
      <c r="A13" s="2" t="s">
        <v>12</v>
      </c>
      <c r="B13" s="69">
        <v>3406.6410231950504</v>
      </c>
      <c r="C13" s="69">
        <f>'Имущество физ лиц'!L16</f>
        <v>7311.264884591435</v>
      </c>
      <c r="D13" s="311">
        <f t="shared" si="0"/>
        <v>3904.623861396384</v>
      </c>
      <c r="E13" s="69"/>
      <c r="F13" s="69"/>
      <c r="G13" s="311">
        <f t="shared" si="1"/>
        <v>0</v>
      </c>
      <c r="H13" s="69">
        <v>18022.873999999996</v>
      </c>
      <c r="I13" s="69">
        <f>НДФЛ!AD20</f>
        <v>23878.690649999993</v>
      </c>
      <c r="J13" s="311">
        <f t="shared" si="2"/>
        <v>5855.816649999997</v>
      </c>
      <c r="K13" s="69">
        <v>6679</v>
      </c>
      <c r="L13" s="69">
        <f>ЕНВД!H20</f>
        <v>7596.379500000001</v>
      </c>
      <c r="M13" s="312">
        <f t="shared" si="3"/>
        <v>917.3795000000009</v>
      </c>
      <c r="N13" s="69">
        <v>0</v>
      </c>
      <c r="O13" s="305">
        <f>'Аренда земельных участков'!U18</f>
        <v>3193.0129935688597</v>
      </c>
      <c r="P13" s="312">
        <f t="shared" si="4"/>
        <v>3193.0129935688597</v>
      </c>
      <c r="Q13" s="305">
        <f t="shared" si="5"/>
        <v>28108.515023195047</v>
      </c>
      <c r="R13" s="309">
        <f t="shared" si="6"/>
        <v>41979.34802816029</v>
      </c>
      <c r="S13" s="279">
        <f t="shared" si="7"/>
        <v>13870.833004965243</v>
      </c>
    </row>
    <row r="14" spans="1:19" ht="12.75">
      <c r="A14" s="2" t="s">
        <v>13</v>
      </c>
      <c r="B14" s="69">
        <v>484.88172043010707</v>
      </c>
      <c r="C14" s="69">
        <f>'Имущество физ лиц'!L14</f>
        <v>2266.772552771085</v>
      </c>
      <c r="D14" s="311">
        <f t="shared" si="0"/>
        <v>1781.8908323409778</v>
      </c>
      <c r="E14" s="69"/>
      <c r="F14" s="69"/>
      <c r="G14" s="311">
        <f t="shared" si="1"/>
        <v>0</v>
      </c>
      <c r="H14" s="69">
        <v>77966.752</v>
      </c>
      <c r="I14" s="69">
        <f>НДФЛ!AD12</f>
        <v>76668.69046000001</v>
      </c>
      <c r="J14" s="311">
        <f t="shared" si="2"/>
        <v>-1298.0615399999806</v>
      </c>
      <c r="K14" s="69">
        <v>8046</v>
      </c>
      <c r="L14" s="69">
        <f>ЕНВД!H12</f>
        <v>6531.44316</v>
      </c>
      <c r="M14" s="312">
        <f t="shared" si="3"/>
        <v>-1514.5568400000002</v>
      </c>
      <c r="N14" s="69">
        <v>0</v>
      </c>
      <c r="O14" s="305">
        <f>'Аренда земельных участков'!U16</f>
        <v>6869.628141863597</v>
      </c>
      <c r="P14" s="312">
        <f t="shared" si="4"/>
        <v>6869.628141863597</v>
      </c>
      <c r="Q14" s="305">
        <f t="shared" si="5"/>
        <v>86497.6337204301</v>
      </c>
      <c r="R14" s="309">
        <f t="shared" si="6"/>
        <v>92336.53431463469</v>
      </c>
      <c r="S14" s="279">
        <f t="shared" si="7"/>
        <v>5838.9005942045915</v>
      </c>
    </row>
    <row r="15" spans="1:19" ht="12.75">
      <c r="A15" s="2" t="s">
        <v>14</v>
      </c>
      <c r="B15" s="69">
        <v>203.8161309604146</v>
      </c>
      <c r="C15" s="69">
        <f>'Имущество физ лиц'!L18</f>
        <v>5124.714664467606</v>
      </c>
      <c r="D15" s="311">
        <f t="shared" si="0"/>
        <v>4920.898533507191</v>
      </c>
      <c r="E15" s="69"/>
      <c r="F15" s="69"/>
      <c r="G15" s="311">
        <f t="shared" si="1"/>
        <v>0</v>
      </c>
      <c r="H15" s="69">
        <v>16076.990999999998</v>
      </c>
      <c r="I15" s="69">
        <f>НДФЛ!AD21</f>
        <v>28453.926299999996</v>
      </c>
      <c r="J15" s="311">
        <f t="shared" si="2"/>
        <v>12376.935299999997</v>
      </c>
      <c r="K15" s="69">
        <v>0</v>
      </c>
      <c r="L15" s="305">
        <f>ЕНВД!H14</f>
        <v>0</v>
      </c>
      <c r="M15" s="312">
        <f t="shared" si="3"/>
        <v>0</v>
      </c>
      <c r="N15" s="69">
        <v>61184</v>
      </c>
      <c r="O15" s="69">
        <f>'Аренда земельных участков'!U20</f>
        <v>176845.78392428852</v>
      </c>
      <c r="P15" s="312">
        <f t="shared" si="4"/>
        <v>115661.78392428852</v>
      </c>
      <c r="Q15" s="305">
        <f t="shared" si="5"/>
        <v>77464.80713096041</v>
      </c>
      <c r="R15" s="309">
        <f t="shared" si="6"/>
        <v>210424.42488875613</v>
      </c>
      <c r="S15" s="279">
        <f t="shared" si="7"/>
        <v>132959.61775779573</v>
      </c>
    </row>
    <row r="16" spans="1:19" ht="12.75">
      <c r="A16" s="2" t="s">
        <v>15</v>
      </c>
      <c r="B16" s="69">
        <v>2366.3704115684104</v>
      </c>
      <c r="C16" s="69">
        <f>'Имущество физ лиц'!L10</f>
        <v>19065.97279699439</v>
      </c>
      <c r="D16" s="311">
        <f t="shared" si="0"/>
        <v>16699.602385425977</v>
      </c>
      <c r="E16" s="69"/>
      <c r="F16" s="69"/>
      <c r="G16" s="311">
        <f t="shared" si="1"/>
        <v>0</v>
      </c>
      <c r="H16" s="69">
        <v>18393.80899999996</v>
      </c>
      <c r="I16" s="69">
        <f>НДФЛ!AD25</f>
        <v>39276.479798999964</v>
      </c>
      <c r="J16" s="311">
        <f t="shared" si="2"/>
        <v>20882.670799000003</v>
      </c>
      <c r="K16" s="69">
        <v>0</v>
      </c>
      <c r="L16" s="305">
        <f>ЕНВД!H11</f>
        <v>0</v>
      </c>
      <c r="M16" s="312">
        <f t="shared" si="3"/>
        <v>0</v>
      </c>
      <c r="N16" s="69">
        <v>61090</v>
      </c>
      <c r="O16" s="69">
        <f>'Аренда земельных участков'!U12</f>
        <v>74130.27167009967</v>
      </c>
      <c r="P16" s="312">
        <f t="shared" si="4"/>
        <v>13040.271670099668</v>
      </c>
      <c r="Q16" s="305">
        <f t="shared" si="5"/>
        <v>81850.17941156837</v>
      </c>
      <c r="R16" s="309">
        <f t="shared" si="6"/>
        <v>132472.72426609404</v>
      </c>
      <c r="S16" s="279">
        <f t="shared" si="7"/>
        <v>50622.544854525666</v>
      </c>
    </row>
    <row r="17" spans="1:19" ht="12.75">
      <c r="A17" s="2" t="s">
        <v>16</v>
      </c>
      <c r="B17" s="69">
        <v>26457.03697176253</v>
      </c>
      <c r="C17" s="69">
        <f>'Имущество физ лиц'!L9</f>
        <v>23286.25582688034</v>
      </c>
      <c r="D17" s="311">
        <f t="shared" si="0"/>
        <v>-3170.7811448821885</v>
      </c>
      <c r="E17" s="69"/>
      <c r="F17" s="69"/>
      <c r="G17" s="311">
        <f t="shared" si="1"/>
        <v>0</v>
      </c>
      <c r="H17" s="69">
        <v>297864.5599999994</v>
      </c>
      <c r="I17" s="69">
        <f>НДФЛ!AD11</f>
        <v>780859.2677600008</v>
      </c>
      <c r="J17" s="311">
        <f t="shared" si="2"/>
        <v>482994.70776000136</v>
      </c>
      <c r="K17" s="69">
        <v>132701</v>
      </c>
      <c r="L17" s="69">
        <f>ЕНВД!H7</f>
        <v>164291.41124999998</v>
      </c>
      <c r="M17" s="312">
        <f t="shared" si="3"/>
        <v>31590.411249999976</v>
      </c>
      <c r="N17" s="69">
        <v>509920</v>
      </c>
      <c r="O17" s="69">
        <f>'Аренда земельных участков'!U11</f>
        <v>400569.4530659173</v>
      </c>
      <c r="P17" s="312">
        <f t="shared" si="4"/>
        <v>-109350.5469340827</v>
      </c>
      <c r="Q17" s="305">
        <f t="shared" si="5"/>
        <v>966942.5969717619</v>
      </c>
      <c r="R17" s="309">
        <f t="shared" si="6"/>
        <v>1369006.3879027984</v>
      </c>
      <c r="S17" s="279">
        <f t="shared" si="7"/>
        <v>402063.79093103646</v>
      </c>
    </row>
    <row r="18" spans="1:19" ht="12.75">
      <c r="A18" s="2" t="s">
        <v>17</v>
      </c>
      <c r="B18" s="69">
        <v>6981.189798629383</v>
      </c>
      <c r="C18" s="69">
        <f>'Имущество физ лиц'!L13</f>
        <v>21007.851211867463</v>
      </c>
      <c r="D18" s="311">
        <f t="shared" si="0"/>
        <v>14026.661413238078</v>
      </c>
      <c r="E18" s="69"/>
      <c r="F18" s="69"/>
      <c r="G18" s="311">
        <f t="shared" si="1"/>
        <v>0</v>
      </c>
      <c r="H18" s="69">
        <v>77081.751</v>
      </c>
      <c r="I18" s="69">
        <f>НДФЛ!AD23</f>
        <v>51405.693180000024</v>
      </c>
      <c r="J18" s="311">
        <f t="shared" si="2"/>
        <v>-25676.05781999998</v>
      </c>
      <c r="K18" s="69">
        <v>14290</v>
      </c>
      <c r="L18" s="69">
        <f>ЕНВД!H25</f>
        <v>13147.675530000002</v>
      </c>
      <c r="M18" s="312">
        <f t="shared" si="3"/>
        <v>-1142.3244699999977</v>
      </c>
      <c r="N18" s="69">
        <v>984</v>
      </c>
      <c r="O18" s="69">
        <f>'Аренда земельных участков'!U15</f>
        <v>25592.623594346274</v>
      </c>
      <c r="P18" s="312">
        <f t="shared" si="4"/>
        <v>24608.623594346274</v>
      </c>
      <c r="Q18" s="305">
        <f t="shared" si="5"/>
        <v>99336.94079862938</v>
      </c>
      <c r="R18" s="309">
        <f t="shared" si="6"/>
        <v>111153.84351621376</v>
      </c>
      <c r="S18" s="279">
        <f t="shared" si="7"/>
        <v>11816.90271758438</v>
      </c>
    </row>
    <row r="19" spans="1:19" ht="12.75">
      <c r="A19" s="2"/>
      <c r="B19" s="69"/>
      <c r="C19" s="69"/>
      <c r="D19" s="311"/>
      <c r="E19" s="69"/>
      <c r="F19" s="69"/>
      <c r="G19" s="311">
        <f t="shared" si="1"/>
        <v>0</v>
      </c>
      <c r="H19" s="69"/>
      <c r="I19" s="69"/>
      <c r="J19" s="311"/>
      <c r="K19" s="69"/>
      <c r="L19" s="69"/>
      <c r="M19" s="312"/>
      <c r="N19" s="69"/>
      <c r="O19" s="69"/>
      <c r="P19" s="312"/>
      <c r="Q19" s="305">
        <f t="shared" si="5"/>
        <v>0</v>
      </c>
      <c r="R19" s="309">
        <f t="shared" si="6"/>
        <v>0</v>
      </c>
      <c r="S19" s="279"/>
    </row>
    <row r="20" spans="1:19" ht="12.75">
      <c r="A20" s="2" t="s">
        <v>18</v>
      </c>
      <c r="B20" s="69">
        <v>1153.013946587537</v>
      </c>
      <c r="C20" s="69">
        <f>'Имущество физ лиц'!L38</f>
        <v>483.3615237305609</v>
      </c>
      <c r="D20" s="311">
        <f t="shared" si="0"/>
        <v>-669.652422856976</v>
      </c>
      <c r="E20" s="69"/>
      <c r="F20" s="69"/>
      <c r="G20" s="311">
        <f t="shared" si="1"/>
        <v>0</v>
      </c>
      <c r="H20" s="69">
        <v>6950.354</v>
      </c>
      <c r="I20" s="69">
        <f>НДФЛ!AD49</f>
        <v>8619.40126</v>
      </c>
      <c r="J20" s="311">
        <f t="shared" si="2"/>
        <v>1669.0472600000003</v>
      </c>
      <c r="K20" s="69">
        <v>1279</v>
      </c>
      <c r="L20" s="69">
        <f>ЕНВД!H38</f>
        <v>1136.1620599999999</v>
      </c>
      <c r="M20" s="312">
        <f t="shared" si="3"/>
        <v>-142.83794000000012</v>
      </c>
      <c r="N20" s="69">
        <v>2944</v>
      </c>
      <c r="O20" s="69">
        <f>'Аренда земельных участков'!U37</f>
        <v>19309.989446257867</v>
      </c>
      <c r="P20" s="312">
        <f t="shared" si="4"/>
        <v>16365.989446257867</v>
      </c>
      <c r="Q20" s="305">
        <f t="shared" si="5"/>
        <v>12326.367946587538</v>
      </c>
      <c r="R20" s="309">
        <f t="shared" si="6"/>
        <v>29548.91428998843</v>
      </c>
      <c r="S20" s="279">
        <f t="shared" si="7"/>
        <v>17222.546343400893</v>
      </c>
    </row>
    <row r="21" spans="1:19" ht="12.75">
      <c r="A21" s="2" t="s">
        <v>19</v>
      </c>
      <c r="B21" s="69">
        <v>3609.673581092836</v>
      </c>
      <c r="C21" s="69">
        <f>'Имущество физ лиц'!L27</f>
        <v>4607.1833368408925</v>
      </c>
      <c r="D21" s="311">
        <f t="shared" si="0"/>
        <v>997.5097557480567</v>
      </c>
      <c r="E21" s="69"/>
      <c r="F21" s="69"/>
      <c r="G21" s="311">
        <f t="shared" si="1"/>
        <v>0</v>
      </c>
      <c r="H21" s="69">
        <v>32689.585000000006</v>
      </c>
      <c r="I21" s="69">
        <f>НДФЛ!AD26</f>
        <v>15432.031774940013</v>
      </c>
      <c r="J21" s="311">
        <f t="shared" si="2"/>
        <v>-17257.553225059994</v>
      </c>
      <c r="K21" s="69">
        <v>697</v>
      </c>
      <c r="L21" s="69">
        <f>ЕНВД!H28</f>
        <v>8791.294800000001</v>
      </c>
      <c r="M21" s="312">
        <f t="shared" si="3"/>
        <v>8094.2948000000015</v>
      </c>
      <c r="N21" s="69">
        <v>589</v>
      </c>
      <c r="O21" s="69">
        <f>'Аренда земельных участков'!U25</f>
        <v>0</v>
      </c>
      <c r="P21" s="312">
        <f t="shared" si="4"/>
        <v>-589</v>
      </c>
      <c r="Q21" s="305">
        <f t="shared" si="5"/>
        <v>37585.25858109284</v>
      </c>
      <c r="R21" s="309">
        <f t="shared" si="6"/>
        <v>28830.509911780908</v>
      </c>
      <c r="S21" s="279">
        <f t="shared" si="7"/>
        <v>-8754.748669311935</v>
      </c>
    </row>
    <row r="22" spans="1:19" ht="12.75">
      <c r="A22" s="6" t="s">
        <v>20</v>
      </c>
      <c r="B22" s="69">
        <v>1089.4545454545455</v>
      </c>
      <c r="C22" s="69">
        <f>'Имущество физ лиц'!L28</f>
        <v>1526.9501850335355</v>
      </c>
      <c r="D22" s="311">
        <f t="shared" si="0"/>
        <v>437.49563957899</v>
      </c>
      <c r="E22" s="69"/>
      <c r="F22" s="69"/>
      <c r="G22" s="311">
        <f t="shared" si="1"/>
        <v>0</v>
      </c>
      <c r="H22" s="69">
        <v>5746.977999999999</v>
      </c>
      <c r="I22" s="69">
        <f>НДФЛ!AD32</f>
        <v>4666.14061</v>
      </c>
      <c r="J22" s="311">
        <f t="shared" si="2"/>
        <v>-1080.8373899999988</v>
      </c>
      <c r="K22" s="69">
        <v>1324</v>
      </c>
      <c r="L22" s="69">
        <f>ЕНВД!H30</f>
        <v>707.79416</v>
      </c>
      <c r="M22" s="312">
        <f t="shared" si="3"/>
        <v>-616.20584</v>
      </c>
      <c r="N22" s="69">
        <v>2725</v>
      </c>
      <c r="O22" s="69">
        <f>'Аренда земельных участков'!U26</f>
        <v>1625.9749133021894</v>
      </c>
      <c r="P22" s="312">
        <f t="shared" si="4"/>
        <v>-1099.0250866978106</v>
      </c>
      <c r="Q22" s="305">
        <f t="shared" si="5"/>
        <v>10885.432545454545</v>
      </c>
      <c r="R22" s="309">
        <f t="shared" si="6"/>
        <v>8526.859868335725</v>
      </c>
      <c r="S22" s="279">
        <f t="shared" si="7"/>
        <v>-2358.57267711882</v>
      </c>
    </row>
    <row r="23" spans="1:19" ht="12.75">
      <c r="A23" s="6" t="s">
        <v>21</v>
      </c>
      <c r="B23" s="69">
        <v>238.51246290801183</v>
      </c>
      <c r="C23" s="69">
        <f>'Имущество физ лиц'!L43</f>
        <v>216.28753740259742</v>
      </c>
      <c r="D23" s="311">
        <f t="shared" si="0"/>
        <v>-22.224925505414404</v>
      </c>
      <c r="E23" s="69"/>
      <c r="F23" s="69"/>
      <c r="G23" s="311">
        <f t="shared" si="1"/>
        <v>0</v>
      </c>
      <c r="H23" s="69">
        <v>6463.7080000000005</v>
      </c>
      <c r="I23" s="69">
        <f>НДФЛ!AD29</f>
        <v>23731.73468</v>
      </c>
      <c r="J23" s="311">
        <f t="shared" si="2"/>
        <v>17268.026680000003</v>
      </c>
      <c r="K23" s="69">
        <v>86</v>
      </c>
      <c r="L23" s="69">
        <f>ЕНВД!H29</f>
        <v>461.3035799999994</v>
      </c>
      <c r="M23" s="312">
        <f t="shared" si="3"/>
        <v>375.3035799999994</v>
      </c>
      <c r="N23" s="69">
        <v>4213</v>
      </c>
      <c r="O23" s="69">
        <f>'Аренда земельных участков'!U38</f>
        <v>0</v>
      </c>
      <c r="P23" s="312">
        <f t="shared" si="4"/>
        <v>-4213</v>
      </c>
      <c r="Q23" s="305">
        <f t="shared" si="5"/>
        <v>11001.220462908012</v>
      </c>
      <c r="R23" s="309">
        <f t="shared" si="6"/>
        <v>24409.3257974026</v>
      </c>
      <c r="S23" s="279">
        <f t="shared" si="7"/>
        <v>13408.105334494587</v>
      </c>
    </row>
    <row r="24" spans="1:19" ht="12.75">
      <c r="A24" s="6" t="s">
        <v>22</v>
      </c>
      <c r="B24" s="69"/>
      <c r="C24" s="69">
        <f>'Имущество физ лиц'!L44</f>
        <v>-126.07131519087758</v>
      </c>
      <c r="D24" s="311">
        <f t="shared" si="0"/>
        <v>-126.07131519087758</v>
      </c>
      <c r="E24" s="69"/>
      <c r="F24" s="69"/>
      <c r="G24" s="311">
        <f t="shared" si="1"/>
        <v>0</v>
      </c>
      <c r="H24" s="69">
        <v>10645.922000000002</v>
      </c>
      <c r="I24" s="69">
        <f>НДФЛ!AD37</f>
        <v>5493.9491400000015</v>
      </c>
      <c r="J24" s="311">
        <f t="shared" si="2"/>
        <v>-5151.972860000001</v>
      </c>
      <c r="K24" s="69"/>
      <c r="L24" s="305">
        <f>ЕНВД!H32</f>
        <v>184.02313999999984</v>
      </c>
      <c r="M24" s="312">
        <f t="shared" si="3"/>
        <v>184.02313999999984</v>
      </c>
      <c r="N24" s="69">
        <v>4163</v>
      </c>
      <c r="O24" s="69">
        <f>'Аренда земельных участков'!U39</f>
        <v>5950.772439127714</v>
      </c>
      <c r="P24" s="312">
        <f t="shared" si="4"/>
        <v>1787.7724391277143</v>
      </c>
      <c r="Q24" s="305">
        <f t="shared" si="5"/>
        <v>14808.922000000002</v>
      </c>
      <c r="R24" s="309">
        <f t="shared" si="6"/>
        <v>11502.673403936838</v>
      </c>
      <c r="S24" s="279">
        <f t="shared" si="7"/>
        <v>-3306.248596063164</v>
      </c>
    </row>
    <row r="25" spans="1:19" ht="12.75">
      <c r="A25" s="6" t="s">
        <v>23</v>
      </c>
      <c r="B25" s="69">
        <v>1044.094495670677</v>
      </c>
      <c r="C25" s="69">
        <f>'Имущество физ лиц'!L29</f>
        <v>1322.1746644186046</v>
      </c>
      <c r="D25" s="311">
        <f t="shared" si="0"/>
        <v>278.0801687479277</v>
      </c>
      <c r="E25" s="69"/>
      <c r="F25" s="69"/>
      <c r="G25" s="311">
        <f t="shared" si="1"/>
        <v>0</v>
      </c>
      <c r="H25" s="69">
        <v>14429.961</v>
      </c>
      <c r="I25" s="69">
        <f>НДФЛ!AD47</f>
        <v>14499.080910000002</v>
      </c>
      <c r="J25" s="311">
        <f t="shared" si="2"/>
        <v>69.11991000000307</v>
      </c>
      <c r="K25" s="69">
        <v>2051</v>
      </c>
      <c r="L25" s="69">
        <f>ЕНВД!H37</f>
        <v>1867.7296699999997</v>
      </c>
      <c r="M25" s="312">
        <f t="shared" si="3"/>
        <v>-183.27033000000029</v>
      </c>
      <c r="N25" s="69">
        <v>2327</v>
      </c>
      <c r="O25" s="69">
        <f>'Аренда земельных участков'!U27</f>
        <v>0</v>
      </c>
      <c r="P25" s="312">
        <f t="shared" si="4"/>
        <v>-2327</v>
      </c>
      <c r="Q25" s="305">
        <f t="shared" si="5"/>
        <v>19852.055495670676</v>
      </c>
      <c r="R25" s="309">
        <f t="shared" si="6"/>
        <v>17688.985244418607</v>
      </c>
      <c r="S25" s="279">
        <f t="shared" si="7"/>
        <v>-2163.0702512520693</v>
      </c>
    </row>
    <row r="26" spans="1:19" ht="12.75">
      <c r="A26" s="6" t="s">
        <v>24</v>
      </c>
      <c r="B26" s="69">
        <v>7769.209016940109</v>
      </c>
      <c r="C26" s="69">
        <f>'Имущество физ лиц'!L20</f>
        <v>13712.962993766476</v>
      </c>
      <c r="D26" s="311">
        <f t="shared" si="0"/>
        <v>5943.753976826367</v>
      </c>
      <c r="E26" s="69"/>
      <c r="F26" s="69"/>
      <c r="G26" s="311">
        <f t="shared" si="1"/>
        <v>0</v>
      </c>
      <c r="H26" s="69">
        <v>7.487999999972584</v>
      </c>
      <c r="I26" s="69">
        <f>НДФЛ!AD16</f>
        <v>0</v>
      </c>
      <c r="J26" s="311">
        <f t="shared" si="2"/>
        <v>-7.487999999972584</v>
      </c>
      <c r="K26" s="69">
        <v>2194</v>
      </c>
      <c r="L26" s="69">
        <f>ЕНВД!H9</f>
        <v>0</v>
      </c>
      <c r="M26" s="312">
        <f t="shared" si="3"/>
        <v>-2194</v>
      </c>
      <c r="N26" s="69">
        <v>0</v>
      </c>
      <c r="O26" s="305">
        <f>'Аренда земельных участков'!U22</f>
        <v>4102.820248531724</v>
      </c>
      <c r="P26" s="312">
        <f t="shared" si="4"/>
        <v>4102.820248531724</v>
      </c>
      <c r="Q26" s="305">
        <f t="shared" si="5"/>
        <v>9970.697016940081</v>
      </c>
      <c r="R26" s="309">
        <f t="shared" si="6"/>
        <v>17815.7832422982</v>
      </c>
      <c r="S26" s="279">
        <f t="shared" si="7"/>
        <v>7845.086225358118</v>
      </c>
    </row>
    <row r="27" spans="1:19" ht="12.75">
      <c r="A27" s="6" t="s">
        <v>25</v>
      </c>
      <c r="B27" s="69">
        <v>726.960237388724</v>
      </c>
      <c r="C27" s="69">
        <f>'Имущество физ лиц'!L45</f>
        <v>442.9370336342214</v>
      </c>
      <c r="D27" s="311">
        <f t="shared" si="0"/>
        <v>-284.02320375450256</v>
      </c>
      <c r="E27" s="69"/>
      <c r="F27" s="69"/>
      <c r="G27" s="311">
        <f t="shared" si="1"/>
        <v>0</v>
      </c>
      <c r="H27" s="69">
        <v>6571.337999999999</v>
      </c>
      <c r="I27" s="69">
        <f>НДФЛ!AD38</f>
        <v>6509.717700000001</v>
      </c>
      <c r="J27" s="311">
        <f t="shared" si="2"/>
        <v>-61.62029999999777</v>
      </c>
      <c r="K27" s="69">
        <v>2824</v>
      </c>
      <c r="L27" s="69">
        <f>ЕНВД!H15</f>
        <v>2683.22546</v>
      </c>
      <c r="M27" s="312">
        <f t="shared" si="3"/>
        <v>-140.7745399999999</v>
      </c>
      <c r="N27" s="69">
        <v>411</v>
      </c>
      <c r="O27" s="69">
        <f>'Аренда земельных участков'!U50</f>
        <v>0</v>
      </c>
      <c r="P27" s="312">
        <f t="shared" si="4"/>
        <v>-411</v>
      </c>
      <c r="Q27" s="305">
        <f t="shared" si="5"/>
        <v>10533.298237388723</v>
      </c>
      <c r="R27" s="309">
        <f t="shared" si="6"/>
        <v>9635.880193634222</v>
      </c>
      <c r="S27" s="279">
        <f t="shared" si="7"/>
        <v>-897.4180437545001</v>
      </c>
    </row>
    <row r="28" spans="1:19" ht="12.75">
      <c r="A28" s="6" t="s">
        <v>26</v>
      </c>
      <c r="B28" s="69">
        <v>803</v>
      </c>
      <c r="C28" s="69">
        <f>'Имущество физ лиц'!L46</f>
        <v>481.7627284660978</v>
      </c>
      <c r="D28" s="311">
        <f t="shared" si="0"/>
        <v>-321.2372715339022</v>
      </c>
      <c r="E28" s="69"/>
      <c r="F28" s="69"/>
      <c r="G28" s="311">
        <f t="shared" si="1"/>
        <v>0</v>
      </c>
      <c r="H28" s="69">
        <v>4112.823000000002</v>
      </c>
      <c r="I28" s="69">
        <f>НДФЛ!AD46</f>
        <v>5039.229510000002</v>
      </c>
      <c r="J28" s="311">
        <f t="shared" si="2"/>
        <v>926.4065099999998</v>
      </c>
      <c r="K28" s="69">
        <v>3392</v>
      </c>
      <c r="L28" s="69">
        <f>ЕНВД!H19</f>
        <v>3010.93502</v>
      </c>
      <c r="M28" s="312">
        <f t="shared" si="3"/>
        <v>-381.0649800000001</v>
      </c>
      <c r="N28" s="69">
        <v>0</v>
      </c>
      <c r="O28" s="305">
        <f>'Аренда земельных участков'!U40</f>
        <v>1402.4589795695451</v>
      </c>
      <c r="P28" s="312">
        <f t="shared" si="4"/>
        <v>1402.4589795695451</v>
      </c>
      <c r="Q28" s="305">
        <f t="shared" si="5"/>
        <v>8307.823000000002</v>
      </c>
      <c r="R28" s="309">
        <f t="shared" si="6"/>
        <v>9934.386238035644</v>
      </c>
      <c r="S28" s="279">
        <f t="shared" si="7"/>
        <v>1626.563238035642</v>
      </c>
    </row>
    <row r="29" spans="1:19" ht="12.75">
      <c r="A29" s="6" t="s">
        <v>27</v>
      </c>
      <c r="B29" s="69">
        <v>360.6581602373887</v>
      </c>
      <c r="C29" s="69">
        <f>'Имущество физ лиц'!L37</f>
        <v>171.09473894779552</v>
      </c>
      <c r="D29" s="311">
        <f t="shared" si="0"/>
        <v>-189.56342128959318</v>
      </c>
      <c r="E29" s="69"/>
      <c r="F29" s="69"/>
      <c r="G29" s="311">
        <f t="shared" si="1"/>
        <v>0</v>
      </c>
      <c r="H29" s="69">
        <v>7120.972</v>
      </c>
      <c r="I29" s="69">
        <f>НДФЛ!AD42</f>
        <v>6381.46972</v>
      </c>
      <c r="J29" s="311">
        <f t="shared" si="2"/>
        <v>-739.5022799999997</v>
      </c>
      <c r="K29" s="69">
        <v>1</v>
      </c>
      <c r="L29" s="69">
        <f>ЕНВД!H42</f>
        <v>103.87541000000002</v>
      </c>
      <c r="M29" s="312">
        <f t="shared" si="3"/>
        <v>102.87541000000002</v>
      </c>
      <c r="N29" s="69">
        <v>195</v>
      </c>
      <c r="O29" s="69">
        <f>'Аренда земельных участков'!U43</f>
        <v>60.41103794896792</v>
      </c>
      <c r="P29" s="312">
        <f t="shared" si="4"/>
        <v>-134.58896205103207</v>
      </c>
      <c r="Q29" s="305">
        <f t="shared" si="5"/>
        <v>7677.630160237389</v>
      </c>
      <c r="R29" s="309">
        <f t="shared" si="6"/>
        <v>6716.850906896762</v>
      </c>
      <c r="S29" s="279">
        <f t="shared" si="7"/>
        <v>-960.7792533406264</v>
      </c>
    </row>
    <row r="30" spans="1:19" ht="12.75">
      <c r="A30" s="6" t="s">
        <v>28</v>
      </c>
      <c r="B30" s="69">
        <v>519.1077151335311</v>
      </c>
      <c r="C30" s="69">
        <f>'Имущество физ лиц'!L47</f>
        <v>528.949054419999</v>
      </c>
      <c r="D30" s="311">
        <f t="shared" si="0"/>
        <v>9.841339286467928</v>
      </c>
      <c r="E30" s="69"/>
      <c r="F30" s="69"/>
      <c r="G30" s="311">
        <f t="shared" si="1"/>
        <v>0</v>
      </c>
      <c r="H30" s="69">
        <v>0</v>
      </c>
      <c r="I30" s="69">
        <f>НДФЛ!AD48</f>
        <v>0</v>
      </c>
      <c r="J30" s="311">
        <f t="shared" si="2"/>
        <v>0</v>
      </c>
      <c r="K30" s="69">
        <v>806</v>
      </c>
      <c r="L30" s="69">
        <f>ЕНВД!H40</f>
        <v>655.06406</v>
      </c>
      <c r="M30" s="312">
        <f t="shared" si="3"/>
        <v>-150.93593999999996</v>
      </c>
      <c r="N30" s="69">
        <v>2263</v>
      </c>
      <c r="O30" s="69">
        <f>'Аренда земельных участков'!U41</f>
        <v>243.91565738928904</v>
      </c>
      <c r="P30" s="312">
        <f t="shared" si="4"/>
        <v>-2019.084342610711</v>
      </c>
      <c r="Q30" s="305">
        <f t="shared" si="5"/>
        <v>3588.107715133531</v>
      </c>
      <c r="R30" s="309">
        <f t="shared" si="6"/>
        <v>1427.928771809288</v>
      </c>
      <c r="S30" s="279">
        <f t="shared" si="7"/>
        <v>-2160.178943324243</v>
      </c>
    </row>
    <row r="31" spans="1:19" ht="12.75">
      <c r="A31" s="6" t="s">
        <v>29</v>
      </c>
      <c r="B31" s="69">
        <v>4319.006402561024</v>
      </c>
      <c r="C31" s="69">
        <f>'Имущество физ лиц'!L25</f>
        <v>3004.4797936241594</v>
      </c>
      <c r="D31" s="311">
        <f t="shared" si="0"/>
        <v>-1314.5266089368642</v>
      </c>
      <c r="E31" s="69"/>
      <c r="F31" s="69"/>
      <c r="G31" s="311">
        <f t="shared" si="1"/>
        <v>0</v>
      </c>
      <c r="H31" s="69">
        <v>39589.04</v>
      </c>
      <c r="I31" s="69">
        <f>НДФЛ!AD14</f>
        <v>26648.827770000007</v>
      </c>
      <c r="J31" s="311">
        <f t="shared" si="2"/>
        <v>-12940.212229999994</v>
      </c>
      <c r="K31" s="69">
        <v>8882</v>
      </c>
      <c r="L31" s="69">
        <f>ЕНВД!H23</f>
        <v>8934.64839</v>
      </c>
      <c r="M31" s="312">
        <f t="shared" si="3"/>
        <v>52.64839000000029</v>
      </c>
      <c r="N31" s="69">
        <v>0</v>
      </c>
      <c r="O31" s="69">
        <f>'Аренда земельных участков'!U32</f>
        <v>56057.43769786256</v>
      </c>
      <c r="P31" s="312">
        <f t="shared" si="4"/>
        <v>56057.43769786256</v>
      </c>
      <c r="Q31" s="305">
        <f t="shared" si="5"/>
        <v>52790.04640256103</v>
      </c>
      <c r="R31" s="309">
        <f t="shared" si="6"/>
        <v>94645.39365148672</v>
      </c>
      <c r="S31" s="279">
        <f t="shared" si="7"/>
        <v>41855.3472489257</v>
      </c>
    </row>
    <row r="32" spans="1:19" ht="12.75">
      <c r="A32" s="6" t="s">
        <v>30</v>
      </c>
      <c r="B32" s="69">
        <v>2941.117152683913</v>
      </c>
      <c r="C32" s="69">
        <f>'Имущество физ лиц'!L30</f>
        <v>4544.594535120019</v>
      </c>
      <c r="D32" s="311">
        <f t="shared" si="0"/>
        <v>1603.477382436106</v>
      </c>
      <c r="E32" s="69"/>
      <c r="F32" s="69"/>
      <c r="G32" s="311">
        <f t="shared" si="1"/>
        <v>0</v>
      </c>
      <c r="H32" s="69">
        <v>5977.364000000005</v>
      </c>
      <c r="I32" s="69">
        <f>НДФЛ!AD28</f>
        <v>32367.46861</v>
      </c>
      <c r="J32" s="311">
        <f t="shared" si="2"/>
        <v>26390.104609999995</v>
      </c>
      <c r="K32" s="69">
        <v>1683</v>
      </c>
      <c r="L32" s="69">
        <f>ЕНВД!H31</f>
        <v>0</v>
      </c>
      <c r="M32" s="312">
        <f t="shared" si="3"/>
        <v>-1683</v>
      </c>
      <c r="N32" s="69">
        <v>13106</v>
      </c>
      <c r="O32" s="305">
        <f>'Аренда земельных участков'!U28</f>
        <v>0</v>
      </c>
      <c r="P32" s="312">
        <f t="shared" si="4"/>
        <v>-13106</v>
      </c>
      <c r="Q32" s="305">
        <f t="shared" si="5"/>
        <v>23707.48115268392</v>
      </c>
      <c r="R32" s="309">
        <f t="shared" si="6"/>
        <v>36912.06314512002</v>
      </c>
      <c r="S32" s="279">
        <f t="shared" si="7"/>
        <v>13204.581992436099</v>
      </c>
    </row>
    <row r="33" spans="1:19" ht="12.75">
      <c r="A33" s="6" t="s">
        <v>31</v>
      </c>
      <c r="B33" s="69">
        <v>1208.6047477744805</v>
      </c>
      <c r="C33" s="69">
        <f>'Имущество физ лиц'!L48</f>
        <v>1094.7655751773746</v>
      </c>
      <c r="D33" s="311">
        <f t="shared" si="0"/>
        <v>-113.83917259710597</v>
      </c>
      <c r="E33" s="69"/>
      <c r="F33" s="69"/>
      <c r="G33" s="311">
        <f t="shared" si="1"/>
        <v>0</v>
      </c>
      <c r="H33" s="69">
        <v>7055.361999999998</v>
      </c>
      <c r="I33" s="69">
        <f>НДФЛ!AD34</f>
        <v>3289.8203299999973</v>
      </c>
      <c r="J33" s="311">
        <f t="shared" si="2"/>
        <v>-3765.541670000001</v>
      </c>
      <c r="K33" s="69">
        <v>5627</v>
      </c>
      <c r="L33" s="69">
        <f>ЕНВД!H17</f>
        <v>3965.1781299999993</v>
      </c>
      <c r="M33" s="312">
        <f t="shared" si="3"/>
        <v>-1661.8218700000007</v>
      </c>
      <c r="N33" s="69">
        <v>0</v>
      </c>
      <c r="O33" s="305">
        <f>'Аренда земельных участков'!U42</f>
        <v>0</v>
      </c>
      <c r="P33" s="312">
        <f t="shared" si="4"/>
        <v>0</v>
      </c>
      <c r="Q33" s="305">
        <f t="shared" si="5"/>
        <v>13890.966747774479</v>
      </c>
      <c r="R33" s="309">
        <f t="shared" si="6"/>
        <v>8349.76403517737</v>
      </c>
      <c r="S33" s="279">
        <f t="shared" si="7"/>
        <v>-5541.202712597109</v>
      </c>
    </row>
    <row r="34" spans="1:19" ht="12.75">
      <c r="A34" s="6" t="s">
        <v>32</v>
      </c>
      <c r="B34" s="69">
        <v>583.65864593231</v>
      </c>
      <c r="C34" s="69">
        <f>'Имущество физ лиц'!L31</f>
        <v>518.405950407057</v>
      </c>
      <c r="D34" s="311">
        <f t="shared" si="0"/>
        <v>-65.25269552525299</v>
      </c>
      <c r="E34" s="69"/>
      <c r="F34" s="69"/>
      <c r="G34" s="311">
        <f t="shared" si="1"/>
        <v>0</v>
      </c>
      <c r="H34" s="69">
        <v>547.7220000000003</v>
      </c>
      <c r="I34" s="69">
        <f>НДФЛ!AD35</f>
        <v>2531.8091670400026</v>
      </c>
      <c r="J34" s="311">
        <f t="shared" si="2"/>
        <v>1984.0871670400024</v>
      </c>
      <c r="K34" s="69">
        <v>2537</v>
      </c>
      <c r="L34" s="69">
        <f>ЕНВД!H33</f>
        <v>1489.5504399999998</v>
      </c>
      <c r="M34" s="312">
        <f t="shared" si="3"/>
        <v>-1047.4495600000002</v>
      </c>
      <c r="N34" s="69">
        <v>6026</v>
      </c>
      <c r="O34" s="69">
        <f>'Аренда земельных участков'!U29</f>
        <v>1054.6056433892893</v>
      </c>
      <c r="P34" s="312">
        <f t="shared" si="4"/>
        <v>-4971.394356610711</v>
      </c>
      <c r="Q34" s="305">
        <f t="shared" si="5"/>
        <v>9694.38064593231</v>
      </c>
      <c r="R34" s="309">
        <f t="shared" si="6"/>
        <v>5594.371200836348</v>
      </c>
      <c r="S34" s="279">
        <f t="shared" si="7"/>
        <v>-4100.009445095961</v>
      </c>
    </row>
    <row r="35" spans="1:19" ht="12.75">
      <c r="A35" s="6" t="s">
        <v>33</v>
      </c>
      <c r="B35" s="69">
        <v>5366.999999999999</v>
      </c>
      <c r="C35" s="69">
        <f>'Имущество физ лиц'!L24</f>
        <v>9199.654974495472</v>
      </c>
      <c r="D35" s="311">
        <f t="shared" si="0"/>
        <v>3832.6549744954727</v>
      </c>
      <c r="E35" s="69"/>
      <c r="F35" s="69"/>
      <c r="G35" s="311">
        <f t="shared" si="1"/>
        <v>0</v>
      </c>
      <c r="H35" s="69">
        <v>12970.946000000025</v>
      </c>
      <c r="I35" s="69">
        <f>НДФЛ!AD24</f>
        <v>15622.112040380016</v>
      </c>
      <c r="J35" s="311">
        <f t="shared" si="2"/>
        <v>2651.1660403799906</v>
      </c>
      <c r="K35" s="69">
        <v>0</v>
      </c>
      <c r="L35" s="305">
        <f>ЕНВД!H18</f>
        <v>0</v>
      </c>
      <c r="M35" s="312">
        <f t="shared" si="3"/>
        <v>0</v>
      </c>
      <c r="N35" s="69">
        <v>1236</v>
      </c>
      <c r="O35" s="69">
        <f>'Аренда земельных участков'!U33</f>
        <v>191.95661180157435</v>
      </c>
      <c r="P35" s="312">
        <f t="shared" si="4"/>
        <v>-1044.0433881984256</v>
      </c>
      <c r="Q35" s="305">
        <f t="shared" si="5"/>
        <v>19573.946000000025</v>
      </c>
      <c r="R35" s="309">
        <f t="shared" si="6"/>
        <v>25013.723626677063</v>
      </c>
      <c r="S35" s="279">
        <f t="shared" si="7"/>
        <v>5439.777626677038</v>
      </c>
    </row>
    <row r="36" spans="1:19" ht="12.75">
      <c r="A36" s="6" t="s">
        <v>34</v>
      </c>
      <c r="B36" s="69">
        <v>325.2068305608715</v>
      </c>
      <c r="C36" s="69">
        <f>'Имущество физ лиц'!L32</f>
        <v>704.9073015001406</v>
      </c>
      <c r="D36" s="311">
        <f t="shared" si="0"/>
        <v>379.70047093926917</v>
      </c>
      <c r="E36" s="69"/>
      <c r="F36" s="69"/>
      <c r="G36" s="311">
        <f t="shared" si="1"/>
        <v>0</v>
      </c>
      <c r="H36" s="69">
        <v>26887</v>
      </c>
      <c r="I36" s="69">
        <f>НДФЛ!AD17</f>
        <v>12742.313400000006</v>
      </c>
      <c r="J36" s="311">
        <f t="shared" si="2"/>
        <v>-14144.686599999994</v>
      </c>
      <c r="K36" s="69">
        <v>5800</v>
      </c>
      <c r="L36" s="69">
        <f>ЕНВД!H27</f>
        <v>6957.4734100000005</v>
      </c>
      <c r="M36" s="312">
        <f t="shared" si="3"/>
        <v>1157.4734100000005</v>
      </c>
      <c r="N36" s="69">
        <v>0</v>
      </c>
      <c r="O36" s="305">
        <f>'Аренда земельных участков'!U30</f>
        <v>11.189996266797426</v>
      </c>
      <c r="P36" s="312">
        <f t="shared" si="4"/>
        <v>11.189996266797426</v>
      </c>
      <c r="Q36" s="305">
        <f t="shared" si="5"/>
        <v>33012.20683056087</v>
      </c>
      <c r="R36" s="309">
        <f t="shared" si="6"/>
        <v>20415.884107766942</v>
      </c>
      <c r="S36" s="279">
        <f t="shared" si="7"/>
        <v>-12596.322722793928</v>
      </c>
    </row>
    <row r="37" spans="1:19" ht="12.75">
      <c r="A37" s="6" t="s">
        <v>35</v>
      </c>
      <c r="B37" s="69">
        <v>1495.2026706231452</v>
      </c>
      <c r="C37" s="69">
        <f>'Имущество физ лиц'!L35</f>
        <v>677.0749426064913</v>
      </c>
      <c r="D37" s="311">
        <f t="shared" si="0"/>
        <v>-818.1277280166539</v>
      </c>
      <c r="E37" s="69"/>
      <c r="F37" s="69"/>
      <c r="G37" s="311">
        <f t="shared" si="1"/>
        <v>0</v>
      </c>
      <c r="H37" s="69">
        <v>11820.006</v>
      </c>
      <c r="I37" s="69">
        <f>НДФЛ!AD33</f>
        <v>9906.659280000003</v>
      </c>
      <c r="J37" s="311">
        <f t="shared" si="2"/>
        <v>-1913.346719999996</v>
      </c>
      <c r="K37" s="69">
        <v>0</v>
      </c>
      <c r="L37" s="305">
        <f>ЕНВД!H43</f>
        <v>282.74413000000015</v>
      </c>
      <c r="M37" s="312">
        <f t="shared" si="3"/>
        <v>282.74413000000015</v>
      </c>
      <c r="N37" s="69">
        <v>0</v>
      </c>
      <c r="O37" s="305">
        <f>'Аренда земельных участков'!U44</f>
        <v>0</v>
      </c>
      <c r="P37" s="312">
        <f t="shared" si="4"/>
        <v>0</v>
      </c>
      <c r="Q37" s="305">
        <f t="shared" si="5"/>
        <v>13315.208670623144</v>
      </c>
      <c r="R37" s="309">
        <f t="shared" si="6"/>
        <v>10866.478352606495</v>
      </c>
      <c r="S37" s="279">
        <f t="shared" si="7"/>
        <v>-2448.730318016649</v>
      </c>
    </row>
    <row r="38" spans="1:19" ht="12.75">
      <c r="A38" s="6" t="s">
        <v>36</v>
      </c>
      <c r="B38" s="69">
        <v>1257.123375667465</v>
      </c>
      <c r="C38" s="69">
        <f>'Имущество физ лиц'!L33</f>
        <v>1703.6285456339695</v>
      </c>
      <c r="D38" s="311">
        <f t="shared" si="0"/>
        <v>446.50516996650435</v>
      </c>
      <c r="E38" s="69"/>
      <c r="F38" s="69"/>
      <c r="G38" s="311">
        <f t="shared" si="1"/>
        <v>0</v>
      </c>
      <c r="H38" s="69">
        <v>16517</v>
      </c>
      <c r="I38" s="69">
        <f>НДФЛ!AD39</f>
        <v>17171.401120000002</v>
      </c>
      <c r="J38" s="311">
        <f t="shared" si="2"/>
        <v>654.4011200000023</v>
      </c>
      <c r="K38" s="69">
        <v>3187</v>
      </c>
      <c r="L38" s="69">
        <f>ЕНВД!H34</f>
        <v>3279.06446</v>
      </c>
      <c r="M38" s="312">
        <f t="shared" si="3"/>
        <v>92.06446000000005</v>
      </c>
      <c r="N38" s="69">
        <v>5707</v>
      </c>
      <c r="O38" s="69">
        <f>'Аренда земельных участков'!U31</f>
        <v>231.5506684680968</v>
      </c>
      <c r="P38" s="312">
        <f t="shared" si="4"/>
        <v>-5475.449331531903</v>
      </c>
      <c r="Q38" s="305">
        <f t="shared" si="5"/>
        <v>26668.123375667466</v>
      </c>
      <c r="R38" s="309">
        <f t="shared" si="6"/>
        <v>22385.64479410207</v>
      </c>
      <c r="S38" s="279">
        <f t="shared" si="7"/>
        <v>-4282.478581565396</v>
      </c>
    </row>
    <row r="39" spans="1:19" ht="12.75">
      <c r="A39" s="2" t="s">
        <v>37</v>
      </c>
      <c r="B39" s="69">
        <v>2130.054599406528</v>
      </c>
      <c r="C39" s="69">
        <f>'Имущество физ лиц'!L36</f>
        <v>904.2619931977074</v>
      </c>
      <c r="D39" s="311">
        <f t="shared" si="0"/>
        <v>-1225.7926062088204</v>
      </c>
      <c r="E39" s="69"/>
      <c r="F39" s="69"/>
      <c r="G39" s="311">
        <f t="shared" si="1"/>
        <v>0</v>
      </c>
      <c r="H39" s="69">
        <v>9057.796999999999</v>
      </c>
      <c r="I39" s="69">
        <f>НДФЛ!AD43</f>
        <v>11502.799679999998</v>
      </c>
      <c r="J39" s="311">
        <f t="shared" si="2"/>
        <v>2445.0026799999996</v>
      </c>
      <c r="K39" s="69">
        <v>6067</v>
      </c>
      <c r="L39" s="69">
        <f>ЕНВД!H26</f>
        <v>6664.1519800000015</v>
      </c>
      <c r="M39" s="312">
        <f t="shared" si="3"/>
        <v>597.1519800000015</v>
      </c>
      <c r="N39" s="69">
        <v>5187</v>
      </c>
      <c r="O39" s="69">
        <f>'Аренда земельных участков'!U45</f>
        <v>11158.159722812754</v>
      </c>
      <c r="P39" s="312">
        <f t="shared" si="4"/>
        <v>5971.159722812754</v>
      </c>
      <c r="Q39" s="305">
        <f t="shared" si="5"/>
        <v>22441.851599406527</v>
      </c>
      <c r="R39" s="309">
        <f t="shared" si="6"/>
        <v>30229.373376010462</v>
      </c>
      <c r="S39" s="279">
        <f t="shared" si="7"/>
        <v>7787.521776603935</v>
      </c>
    </row>
    <row r="40" spans="1:19" ht="12.75">
      <c r="A40" s="2" t="s">
        <v>38</v>
      </c>
      <c r="B40" s="69">
        <v>4871.443777511005</v>
      </c>
      <c r="C40" s="69">
        <f>'Имущество физ лиц'!L21</f>
        <v>6570.713512622554</v>
      </c>
      <c r="D40" s="311">
        <f t="shared" si="0"/>
        <v>1699.2697351115494</v>
      </c>
      <c r="E40" s="69"/>
      <c r="F40" s="69"/>
      <c r="G40" s="311">
        <f t="shared" si="1"/>
        <v>0</v>
      </c>
      <c r="H40" s="69">
        <v>53469.208000000006</v>
      </c>
      <c r="I40" s="69">
        <f>НДФЛ!AD15</f>
        <v>32128.346810000014</v>
      </c>
      <c r="J40" s="311">
        <f t="shared" si="2"/>
        <v>-21340.861189999992</v>
      </c>
      <c r="K40" s="69">
        <v>2092</v>
      </c>
      <c r="L40" s="69">
        <f>ЕНВД!H24</f>
        <v>2862.7045900000026</v>
      </c>
      <c r="M40" s="312">
        <f t="shared" si="3"/>
        <v>770.7045900000026</v>
      </c>
      <c r="N40" s="69">
        <v>41747</v>
      </c>
      <c r="O40" s="69">
        <f>'Аренда земельных участков'!U35</f>
        <v>873.7800462346817</v>
      </c>
      <c r="P40" s="312">
        <f t="shared" si="4"/>
        <v>-40873.21995376532</v>
      </c>
      <c r="Q40" s="305">
        <f t="shared" si="5"/>
        <v>102179.65177751101</v>
      </c>
      <c r="R40" s="309">
        <f t="shared" si="6"/>
        <v>42435.544958857245</v>
      </c>
      <c r="S40" s="279">
        <f t="shared" si="7"/>
        <v>-59744.10681865377</v>
      </c>
    </row>
    <row r="41" spans="1:19" ht="12.75">
      <c r="A41" s="2" t="s">
        <v>39</v>
      </c>
      <c r="B41" s="69">
        <v>3915.2391178693692</v>
      </c>
      <c r="C41" s="69">
        <f>'Имущество физ лиц'!L22</f>
        <v>5971.314017878788</v>
      </c>
      <c r="D41" s="311">
        <f t="shared" si="0"/>
        <v>2056.074900009419</v>
      </c>
      <c r="E41" s="69"/>
      <c r="F41" s="69"/>
      <c r="G41" s="311">
        <f t="shared" si="1"/>
        <v>0</v>
      </c>
      <c r="H41" s="69">
        <v>32841.755</v>
      </c>
      <c r="I41" s="69">
        <f>НДФЛ!AD27</f>
        <v>31669.03697999998</v>
      </c>
      <c r="J41" s="311">
        <f t="shared" si="2"/>
        <v>-1172.7180200000184</v>
      </c>
      <c r="K41" s="69">
        <v>0</v>
      </c>
      <c r="L41" s="305">
        <f>ЕНВД!H10</f>
        <v>892.4426299999993</v>
      </c>
      <c r="M41" s="312">
        <f t="shared" si="3"/>
        <v>892.4426299999993</v>
      </c>
      <c r="N41" s="320">
        <v>2840</v>
      </c>
      <c r="O41" s="305">
        <f>'Аренда земельных участков'!U23</f>
        <v>0</v>
      </c>
      <c r="P41" s="312">
        <f t="shared" si="4"/>
        <v>-2840</v>
      </c>
      <c r="Q41" s="305">
        <f t="shared" si="5"/>
        <v>39596.99411786937</v>
      </c>
      <c r="R41" s="309">
        <f t="shared" si="6"/>
        <v>38532.79362787877</v>
      </c>
      <c r="S41" s="279">
        <f t="shared" si="7"/>
        <v>-1064.2004899906024</v>
      </c>
    </row>
    <row r="42" spans="1:19" ht="12.75">
      <c r="A42" s="2" t="s">
        <v>40</v>
      </c>
      <c r="B42" s="69">
        <v>1375.885198523854</v>
      </c>
      <c r="C42" s="69">
        <f>'Имущество физ лиц'!L23</f>
        <v>2932.681705940094</v>
      </c>
      <c r="D42" s="311">
        <f t="shared" si="0"/>
        <v>1556.7965074162403</v>
      </c>
      <c r="E42" s="69"/>
      <c r="F42" s="69"/>
      <c r="G42" s="311">
        <f t="shared" si="1"/>
        <v>0</v>
      </c>
      <c r="H42" s="69">
        <v>0</v>
      </c>
      <c r="I42" s="69">
        <f>НДФЛ!AD36</f>
        <v>4206.660777159996</v>
      </c>
      <c r="J42" s="311">
        <f t="shared" si="2"/>
        <v>4206.660777159996</v>
      </c>
      <c r="K42" s="69">
        <v>4721</v>
      </c>
      <c r="L42" s="69">
        <f>ЕНВД!H21</f>
        <v>6795.183770000001</v>
      </c>
      <c r="M42" s="312">
        <f t="shared" si="3"/>
        <v>2074.1837700000005</v>
      </c>
      <c r="N42" s="69">
        <v>3772</v>
      </c>
      <c r="O42" s="305">
        <f>'Аренда земельных участков'!U34</f>
        <v>12219.843404363888</v>
      </c>
      <c r="P42" s="312">
        <f t="shared" si="4"/>
        <v>8447.843404363888</v>
      </c>
      <c r="Q42" s="305">
        <f t="shared" si="5"/>
        <v>9868.885198523854</v>
      </c>
      <c r="R42" s="309">
        <f t="shared" si="6"/>
        <v>26154.36965746398</v>
      </c>
      <c r="S42" s="279">
        <f t="shared" si="7"/>
        <v>16285.484458940125</v>
      </c>
    </row>
    <row r="43" spans="1:19" ht="12.75">
      <c r="A43" s="2" t="s">
        <v>41</v>
      </c>
      <c r="B43" s="69">
        <v>1028.4632047477744</v>
      </c>
      <c r="C43" s="69">
        <f>'Имущество физ лиц'!L39</f>
        <v>809.4179690176157</v>
      </c>
      <c r="D43" s="311">
        <f t="shared" si="0"/>
        <v>-219.04523573015865</v>
      </c>
      <c r="E43" s="69"/>
      <c r="F43" s="69"/>
      <c r="G43" s="311">
        <f t="shared" si="1"/>
        <v>0</v>
      </c>
      <c r="H43" s="69">
        <v>7001</v>
      </c>
      <c r="I43" s="69">
        <f>НДФЛ!AD45</f>
        <v>6392.416039999998</v>
      </c>
      <c r="J43" s="311">
        <f t="shared" si="2"/>
        <v>-608.5839600000018</v>
      </c>
      <c r="K43" s="69">
        <v>1495</v>
      </c>
      <c r="L43" s="69">
        <f>ЕНВД!H41</f>
        <v>0</v>
      </c>
      <c r="M43" s="312">
        <f t="shared" si="3"/>
        <v>-1495</v>
      </c>
      <c r="N43" s="69">
        <v>2101</v>
      </c>
      <c r="O43" s="69">
        <f>'Аренда земельных участков'!U46</f>
        <v>2601.799138878428</v>
      </c>
      <c r="P43" s="312">
        <f t="shared" si="4"/>
        <v>500.79913887842804</v>
      </c>
      <c r="Q43" s="305">
        <f t="shared" si="5"/>
        <v>11625.463204747775</v>
      </c>
      <c r="R43" s="309">
        <f t="shared" si="6"/>
        <v>9803.633147896042</v>
      </c>
      <c r="S43" s="279">
        <f t="shared" si="7"/>
        <v>-1821.8300568517334</v>
      </c>
    </row>
    <row r="44" spans="1:19" ht="12.75">
      <c r="A44" s="2" t="s">
        <v>42</v>
      </c>
      <c r="B44" s="69">
        <v>1277.5762611275964</v>
      </c>
      <c r="C44" s="69">
        <f>'Имущество физ лиц'!L40</f>
        <v>1061.954335368171</v>
      </c>
      <c r="D44" s="311">
        <f t="shared" si="0"/>
        <v>-215.62192575942527</v>
      </c>
      <c r="E44" s="69"/>
      <c r="F44" s="69"/>
      <c r="G44" s="311">
        <f t="shared" si="1"/>
        <v>0</v>
      </c>
      <c r="H44" s="69">
        <v>7402.166</v>
      </c>
      <c r="I44" s="69">
        <f>НДФЛ!AD41</f>
        <v>5163.273879999998</v>
      </c>
      <c r="J44" s="311">
        <f t="shared" si="2"/>
        <v>-2238.8921200000023</v>
      </c>
      <c r="K44" s="69">
        <v>1545</v>
      </c>
      <c r="L44" s="69">
        <f>ЕНВД!H39</f>
        <v>1361.6637299999998</v>
      </c>
      <c r="M44" s="312">
        <f t="shared" si="3"/>
        <v>-183.33627000000024</v>
      </c>
      <c r="N44" s="69">
        <v>130</v>
      </c>
      <c r="O44" s="69">
        <f>'Аренда земельных участков'!U47</f>
        <v>1966.933934423866</v>
      </c>
      <c r="P44" s="312">
        <f t="shared" si="4"/>
        <v>1836.933934423866</v>
      </c>
      <c r="Q44" s="305">
        <f t="shared" si="5"/>
        <v>10354.742261127596</v>
      </c>
      <c r="R44" s="309">
        <f t="shared" si="6"/>
        <v>9553.825879792035</v>
      </c>
      <c r="S44" s="279">
        <f t="shared" si="7"/>
        <v>-800.9163813355608</v>
      </c>
    </row>
    <row r="45" spans="1:19" ht="12.75">
      <c r="A45" s="2" t="s">
        <v>43</v>
      </c>
      <c r="B45" s="69">
        <v>781.9750741839763</v>
      </c>
      <c r="C45" s="69">
        <f>'Имущество физ лиц'!L41</f>
        <v>561.114290562814</v>
      </c>
      <c r="D45" s="311">
        <f t="shared" si="0"/>
        <v>-220.86078362116234</v>
      </c>
      <c r="E45" s="69"/>
      <c r="F45" s="69"/>
      <c r="G45" s="311">
        <f t="shared" si="1"/>
        <v>0</v>
      </c>
      <c r="H45" s="69">
        <v>5646.202</v>
      </c>
      <c r="I45" s="69">
        <f>НДФЛ!AD44</f>
        <v>7518.54548</v>
      </c>
      <c r="J45" s="311">
        <f t="shared" si="2"/>
        <v>1872.3434799999995</v>
      </c>
      <c r="K45" s="69">
        <v>1158</v>
      </c>
      <c r="L45" s="69">
        <f>ЕНВД!H35</f>
        <v>2443.9707599999997</v>
      </c>
      <c r="M45" s="312">
        <f t="shared" si="3"/>
        <v>1285.9707599999997</v>
      </c>
      <c r="N45" s="69">
        <v>0</v>
      </c>
      <c r="O45" s="69">
        <f>'Аренда земельных участков'!U48</f>
        <v>0</v>
      </c>
      <c r="P45" s="312">
        <f t="shared" si="4"/>
        <v>0</v>
      </c>
      <c r="Q45" s="305">
        <f t="shared" si="5"/>
        <v>7586.177074183976</v>
      </c>
      <c r="R45" s="309">
        <f t="shared" si="6"/>
        <v>10523.630530562814</v>
      </c>
      <c r="S45" s="279">
        <f t="shared" si="7"/>
        <v>2937.4534563788375</v>
      </c>
    </row>
    <row r="46" spans="1:19" ht="12.75">
      <c r="A46" s="2" t="s">
        <v>44</v>
      </c>
      <c r="B46" s="69">
        <v>4382.753412462908</v>
      </c>
      <c r="C46" s="69">
        <f>'Имущество физ лиц'!L42</f>
        <v>2869.2343947237546</v>
      </c>
      <c r="D46" s="311">
        <f t="shared" si="0"/>
        <v>-1513.5190177391537</v>
      </c>
      <c r="E46" s="69"/>
      <c r="F46" s="69"/>
      <c r="G46" s="311">
        <f t="shared" si="1"/>
        <v>0</v>
      </c>
      <c r="H46" s="69">
        <v>9489.032000000003</v>
      </c>
      <c r="I46" s="69">
        <f>НДФЛ!AD31</f>
        <v>7209.256250000002</v>
      </c>
      <c r="J46" s="311">
        <f t="shared" si="2"/>
        <v>-2279.7757500000007</v>
      </c>
      <c r="K46" s="69">
        <v>1336</v>
      </c>
      <c r="L46" s="69">
        <f>ЕНВД!H36</f>
        <v>939.5964700000002</v>
      </c>
      <c r="M46" s="312">
        <f t="shared" si="3"/>
        <v>-396.4035299999998</v>
      </c>
      <c r="N46" s="69">
        <v>0</v>
      </c>
      <c r="O46" s="305">
        <f>'Аренда земельных участков'!U49</f>
        <v>1486.1988254443202</v>
      </c>
      <c r="P46" s="312">
        <f t="shared" si="4"/>
        <v>1486.1988254443202</v>
      </c>
      <c r="Q46" s="305">
        <f t="shared" si="5"/>
        <v>15207.785412462912</v>
      </c>
      <c r="R46" s="309">
        <f t="shared" si="6"/>
        <v>12504.285940168078</v>
      </c>
      <c r="S46" s="279">
        <f t="shared" si="7"/>
        <v>-2703.499472294834</v>
      </c>
    </row>
    <row r="47" spans="1:19" s="9" customFormat="1" ht="12.75">
      <c r="A47" s="7" t="s">
        <v>45</v>
      </c>
      <c r="B47" s="304">
        <v>218829.53476109568</v>
      </c>
      <c r="C47" s="304">
        <f>SUM(C9:C46)</f>
        <v>215032.29843476022</v>
      </c>
      <c r="D47" s="350">
        <f t="shared" si="0"/>
        <v>-3797.2363263354637</v>
      </c>
      <c r="E47" s="304">
        <v>1281600.3669000005</v>
      </c>
      <c r="F47" s="304">
        <f>SUM(F9:F46)</f>
        <v>0</v>
      </c>
      <c r="G47" s="350">
        <f t="shared" si="1"/>
        <v>-1281600.3669000005</v>
      </c>
      <c r="H47" s="304">
        <v>989226.5479999991</v>
      </c>
      <c r="I47" s="304">
        <f>SUM(I9:I46)</f>
        <v>1712234.3636907306</v>
      </c>
      <c r="J47" s="350">
        <f t="shared" si="2"/>
        <v>723007.8156907315</v>
      </c>
      <c r="K47" s="304">
        <v>242176</v>
      </c>
      <c r="L47" s="304">
        <f>SUM(L9:L46)</f>
        <v>275482.34913999995</v>
      </c>
      <c r="M47" s="351">
        <f t="shared" si="3"/>
        <v>33306.34913999995</v>
      </c>
      <c r="N47" s="304">
        <v>734860</v>
      </c>
      <c r="O47" s="304">
        <f>SUM(O9:O46)</f>
        <v>807750.5718021576</v>
      </c>
      <c r="P47" s="351">
        <f t="shared" si="4"/>
        <v>72890.57180215756</v>
      </c>
      <c r="Q47" s="304">
        <f>SUM(Q9:Q46)</f>
        <v>2097883.260805281</v>
      </c>
      <c r="R47" s="304">
        <f>SUM(R9:R46)</f>
        <v>3010499.5830676495</v>
      </c>
      <c r="S47" s="352">
        <f t="shared" si="7"/>
        <v>912616.3222623686</v>
      </c>
    </row>
  </sheetData>
  <sheetProtection/>
  <mergeCells count="9">
    <mergeCell ref="A4:R4"/>
    <mergeCell ref="A6:A7"/>
    <mergeCell ref="B7:C7"/>
    <mergeCell ref="E7:F7"/>
    <mergeCell ref="H7:I7"/>
    <mergeCell ref="K7:L7"/>
    <mergeCell ref="N7:O7"/>
    <mergeCell ref="Q7:R7"/>
    <mergeCell ref="B6:S6"/>
  </mergeCells>
  <printOptions horizontalCentered="1"/>
  <pageMargins left="0.15748031496062992" right="0.15748031496062992" top="0.3937007874015748" bottom="0.3937007874015748" header="0.3937007874015748" footer="0.4330708661417323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46"/>
  <sheetViews>
    <sheetView tabSelected="1" zoomScalePageLayoutView="0" workbookViewId="0" topLeftCell="A1">
      <pane xSplit="1" ySplit="7" topLeftCell="B29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D44" sqref="D44"/>
    </sheetView>
  </sheetViews>
  <sheetFormatPr defaultColWidth="9.00390625" defaultRowHeight="12.75"/>
  <cols>
    <col min="1" max="1" width="25.625" style="0" bestFit="1" customWidth="1"/>
    <col min="2" max="2" width="23.00390625" style="0" customWidth="1"/>
    <col min="3" max="3" width="18.25390625" style="0" customWidth="1"/>
    <col min="4" max="4" width="18.375" style="0" customWidth="1"/>
    <col min="5" max="5" width="18.25390625" style="0" customWidth="1"/>
    <col min="6" max="6" width="18.375" style="0" customWidth="1"/>
    <col min="7" max="7" width="15.75390625" style="0" customWidth="1"/>
  </cols>
  <sheetData>
    <row r="1" ht="12.75">
      <c r="G1" s="220" t="s">
        <v>201</v>
      </c>
    </row>
    <row r="4" spans="1:7" ht="30" customHeight="1">
      <c r="A4" s="372" t="s">
        <v>203</v>
      </c>
      <c r="B4" s="373"/>
      <c r="C4" s="373"/>
      <c r="D4" s="373"/>
      <c r="E4" s="373"/>
      <c r="F4" s="373"/>
      <c r="G4" s="373"/>
    </row>
    <row r="5" spans="1:7" ht="19.5" customHeight="1">
      <c r="A5" s="224"/>
      <c r="B5" s="210"/>
      <c r="C5" s="210"/>
      <c r="D5" s="210"/>
      <c r="E5" s="210"/>
      <c r="F5" s="210"/>
      <c r="G5" s="210"/>
    </row>
    <row r="6" spans="1:7" ht="12.75">
      <c r="A6" s="370" t="s">
        <v>0</v>
      </c>
      <c r="B6" s="371" t="s">
        <v>202</v>
      </c>
      <c r="C6" s="371"/>
      <c r="D6" s="371"/>
      <c r="E6" s="371"/>
      <c r="F6" s="371"/>
      <c r="G6" s="2"/>
    </row>
    <row r="7" spans="1:7" s="3" customFormat="1" ht="25.5">
      <c r="A7" s="370"/>
      <c r="B7" s="207" t="s">
        <v>2</v>
      </c>
      <c r="C7" s="207" t="s">
        <v>3</v>
      </c>
      <c r="D7" s="1" t="s">
        <v>4</v>
      </c>
      <c r="E7" s="1" t="s">
        <v>5</v>
      </c>
      <c r="F7" s="1" t="s">
        <v>6</v>
      </c>
      <c r="G7" s="1" t="s">
        <v>7</v>
      </c>
    </row>
    <row r="8" spans="1:7" ht="12.75">
      <c r="A8" s="2" t="s">
        <v>8</v>
      </c>
      <c r="B8" s="69">
        <f>'Имущество физ лиц'!L8</f>
        <v>34473.08094337662</v>
      </c>
      <c r="C8" s="69"/>
      <c r="D8" s="69">
        <f>НДФЛ!AD9</f>
        <v>175487.8192156898</v>
      </c>
      <c r="E8" s="305">
        <f>ЕНВД!H8</f>
        <v>0</v>
      </c>
      <c r="F8" s="305">
        <f>'Аренда земельных участков'!U10</f>
        <v>0</v>
      </c>
      <c r="G8" s="5">
        <f aca="true" t="shared" si="0" ref="G8:G45">SUM(B8:F8)</f>
        <v>209960.9001590664</v>
      </c>
    </row>
    <row r="9" spans="1:7" ht="12.75">
      <c r="A9" s="2" t="s">
        <v>9</v>
      </c>
      <c r="B9" s="69">
        <f>'Имущество физ лиц'!L15</f>
        <v>8247.660126242665</v>
      </c>
      <c r="C9" s="69"/>
      <c r="D9" s="69">
        <f>НДФЛ!AD19</f>
        <v>78929.37670000001</v>
      </c>
      <c r="E9" s="69">
        <f>ЕНВД!H22</f>
        <v>11417.89884</v>
      </c>
      <c r="F9" s="305">
        <f>'Аренда земельных участков'!U17</f>
        <v>0</v>
      </c>
      <c r="G9" s="5">
        <f t="shared" si="0"/>
        <v>98594.93566624267</v>
      </c>
    </row>
    <row r="10" spans="1:7" ht="12.75">
      <c r="A10" s="2" t="s">
        <v>10</v>
      </c>
      <c r="B10" s="69">
        <f>'Имущество физ лиц'!L17</f>
        <v>13784.334067457348</v>
      </c>
      <c r="C10" s="69"/>
      <c r="D10" s="69">
        <f>НДФЛ!AD18</f>
        <v>29059.43661</v>
      </c>
      <c r="E10" s="69">
        <f>ЕНВД!H16</f>
        <v>4995.899049999999</v>
      </c>
      <c r="F10" s="305">
        <f>'Аренда земельных участков'!U19</f>
        <v>0</v>
      </c>
      <c r="G10" s="5">
        <f t="shared" si="0"/>
        <v>47839.669727457345</v>
      </c>
    </row>
    <row r="11" spans="1:7" ht="12.75">
      <c r="A11" s="2" t="s">
        <v>11</v>
      </c>
      <c r="B11" s="69">
        <f>'Имущество физ лиц'!L11</f>
        <v>13968.59504076517</v>
      </c>
      <c r="C11" s="69"/>
      <c r="D11" s="69">
        <f>НДФЛ!AD10</f>
        <v>111771.48009652004</v>
      </c>
      <c r="E11" s="69">
        <f>ЕНВД!H13</f>
        <v>1031.8615599999994</v>
      </c>
      <c r="F11" s="305">
        <f>'Аренда земельных участков'!U14</f>
        <v>0</v>
      </c>
      <c r="G11" s="5">
        <f t="shared" si="0"/>
        <v>126771.93669728521</v>
      </c>
    </row>
    <row r="12" spans="1:7" ht="12.75">
      <c r="A12" s="2" t="s">
        <v>12</v>
      </c>
      <c r="B12" s="69">
        <f>'Имущество физ лиц'!L16</f>
        <v>7311.264884591435</v>
      </c>
      <c r="C12" s="69"/>
      <c r="D12" s="69">
        <f>НДФЛ!AD20</f>
        <v>23878.690649999993</v>
      </c>
      <c r="E12" s="69">
        <f>ЕНВД!H20</f>
        <v>7596.379500000001</v>
      </c>
      <c r="F12" s="305">
        <f>'Аренда земельных участков'!U18</f>
        <v>3193.0129935688597</v>
      </c>
      <c r="G12" s="5">
        <f t="shared" si="0"/>
        <v>41979.34802816029</v>
      </c>
    </row>
    <row r="13" spans="1:7" ht="12.75">
      <c r="A13" s="2" t="s">
        <v>13</v>
      </c>
      <c r="B13" s="69">
        <f>'Имущество физ лиц'!L14</f>
        <v>2266.772552771085</v>
      </c>
      <c r="C13" s="69"/>
      <c r="D13" s="69">
        <f>НДФЛ!AD12</f>
        <v>76668.69046000001</v>
      </c>
      <c r="E13" s="69">
        <f>ЕНВД!H12</f>
        <v>6531.44316</v>
      </c>
      <c r="F13" s="305">
        <f>'Аренда земельных участков'!U16</f>
        <v>6869.628141863597</v>
      </c>
      <c r="G13" s="5">
        <f t="shared" si="0"/>
        <v>92336.53431463469</v>
      </c>
    </row>
    <row r="14" spans="1:7" ht="12.75">
      <c r="A14" s="2" t="s">
        <v>14</v>
      </c>
      <c r="B14" s="69">
        <f>'Имущество физ лиц'!L18</f>
        <v>5124.714664467606</v>
      </c>
      <c r="C14" s="69"/>
      <c r="D14" s="69">
        <f>НДФЛ!AD21</f>
        <v>28453.926299999996</v>
      </c>
      <c r="E14" s="305">
        <f>ЕНВД!H14</f>
        <v>0</v>
      </c>
      <c r="F14" s="69">
        <f>'Аренда земельных участков'!U20</f>
        <v>176845.78392428852</v>
      </c>
      <c r="G14" s="5">
        <f t="shared" si="0"/>
        <v>210424.42488875613</v>
      </c>
    </row>
    <row r="15" spans="1:7" ht="12.75">
      <c r="A15" s="2" t="s">
        <v>15</v>
      </c>
      <c r="B15" s="69">
        <f>'Имущество физ лиц'!L10</f>
        <v>19065.97279699439</v>
      </c>
      <c r="C15" s="69"/>
      <c r="D15" s="69">
        <f>НДФЛ!AD25</f>
        <v>39276.479798999964</v>
      </c>
      <c r="E15" s="305">
        <f>ЕНВД!H11</f>
        <v>0</v>
      </c>
      <c r="F15" s="69">
        <f>'Аренда земельных участков'!U12</f>
        <v>74130.27167009967</v>
      </c>
      <c r="G15" s="5">
        <f t="shared" si="0"/>
        <v>132472.72426609404</v>
      </c>
    </row>
    <row r="16" spans="1:7" ht="12.75">
      <c r="A16" s="2" t="s">
        <v>16</v>
      </c>
      <c r="B16" s="69">
        <f>'Имущество физ лиц'!L9</f>
        <v>23286.25582688034</v>
      </c>
      <c r="C16" s="69"/>
      <c r="D16" s="69">
        <f>НДФЛ!AD11</f>
        <v>780859.2677600008</v>
      </c>
      <c r="E16" s="69">
        <f>ЕНВД!H7</f>
        <v>164291.41124999998</v>
      </c>
      <c r="F16" s="69">
        <f>'Аренда земельных участков'!U11</f>
        <v>400569.4530659173</v>
      </c>
      <c r="G16" s="5">
        <f t="shared" si="0"/>
        <v>1369006.3879027984</v>
      </c>
    </row>
    <row r="17" spans="1:7" ht="12.75">
      <c r="A17" s="2" t="s">
        <v>17</v>
      </c>
      <c r="B17" s="69">
        <f>'Имущество физ лиц'!L13</f>
        <v>21007.851211867463</v>
      </c>
      <c r="C17" s="69"/>
      <c r="D17" s="69">
        <f>НДФЛ!AD23</f>
        <v>51405.693180000024</v>
      </c>
      <c r="E17" s="69">
        <f>ЕНВД!H25</f>
        <v>13147.675530000002</v>
      </c>
      <c r="F17" s="69">
        <f>'Аренда земельных участков'!U15</f>
        <v>25592.623594346274</v>
      </c>
      <c r="G17" s="5">
        <f t="shared" si="0"/>
        <v>111153.84351621376</v>
      </c>
    </row>
    <row r="18" spans="1:7" ht="12.75">
      <c r="A18" s="2"/>
      <c r="B18" s="69"/>
      <c r="C18" s="69"/>
      <c r="D18" s="69"/>
      <c r="E18" s="69"/>
      <c r="F18" s="69"/>
      <c r="G18" s="5"/>
    </row>
    <row r="19" spans="1:7" ht="12.75">
      <c r="A19" s="2" t="s">
        <v>18</v>
      </c>
      <c r="B19" s="69">
        <f>'Имущество физ лиц'!L38</f>
        <v>483.3615237305609</v>
      </c>
      <c r="C19" s="69"/>
      <c r="D19" s="69">
        <f>НДФЛ!AD49</f>
        <v>8619.40126</v>
      </c>
      <c r="E19" s="69">
        <f>ЕНВД!H38</f>
        <v>1136.1620599999999</v>
      </c>
      <c r="F19" s="69">
        <f>'Аренда земельных участков'!U37</f>
        <v>19309.989446257867</v>
      </c>
      <c r="G19" s="5">
        <f t="shared" si="0"/>
        <v>29548.91428998843</v>
      </c>
    </row>
    <row r="20" spans="1:7" ht="12.75">
      <c r="A20" s="2" t="s">
        <v>19</v>
      </c>
      <c r="B20" s="69">
        <f>'Имущество физ лиц'!L27</f>
        <v>4607.1833368408925</v>
      </c>
      <c r="C20" s="69"/>
      <c r="D20" s="69">
        <f>НДФЛ!AD26</f>
        <v>15432.031774940013</v>
      </c>
      <c r="E20" s="69">
        <f>ЕНВД!H28</f>
        <v>8791.294800000001</v>
      </c>
      <c r="F20" s="69">
        <f>'Аренда земельных участков'!U25</f>
        <v>0</v>
      </c>
      <c r="G20" s="5">
        <f t="shared" si="0"/>
        <v>28830.509911780908</v>
      </c>
    </row>
    <row r="21" spans="1:7" ht="12.75">
      <c r="A21" s="6" t="s">
        <v>20</v>
      </c>
      <c r="B21" s="69">
        <f>'Имущество физ лиц'!L28</f>
        <v>1526.9501850335355</v>
      </c>
      <c r="C21" s="69"/>
      <c r="D21" s="69">
        <f>НДФЛ!AD32</f>
        <v>4666.14061</v>
      </c>
      <c r="E21" s="69">
        <f>ЕНВД!H30</f>
        <v>707.79416</v>
      </c>
      <c r="F21" s="69">
        <f>'Аренда земельных участков'!U26</f>
        <v>1625.9749133021894</v>
      </c>
      <c r="G21" s="5">
        <f t="shared" si="0"/>
        <v>8526.859868335725</v>
      </c>
    </row>
    <row r="22" spans="1:7" ht="12.75">
      <c r="A22" s="6" t="s">
        <v>21</v>
      </c>
      <c r="B22" s="69">
        <f>'Имущество физ лиц'!L43</f>
        <v>216.28753740259742</v>
      </c>
      <c r="C22" s="69"/>
      <c r="D22" s="69">
        <f>НДФЛ!AD29</f>
        <v>23731.73468</v>
      </c>
      <c r="E22" s="69">
        <f>ЕНВД!H29</f>
        <v>461.3035799999994</v>
      </c>
      <c r="F22" s="69">
        <f>'Аренда земельных участков'!U38</f>
        <v>0</v>
      </c>
      <c r="G22" s="5">
        <f t="shared" si="0"/>
        <v>24409.3257974026</v>
      </c>
    </row>
    <row r="23" spans="1:7" ht="12.75">
      <c r="A23" s="6" t="s">
        <v>22</v>
      </c>
      <c r="B23" s="69">
        <f>'Имущество физ лиц'!L44</f>
        <v>-126.07131519087758</v>
      </c>
      <c r="C23" s="69"/>
      <c r="D23" s="69">
        <f>НДФЛ!AD37</f>
        <v>5493.9491400000015</v>
      </c>
      <c r="E23" s="305">
        <f>ЕНВД!H32</f>
        <v>184.02313999999984</v>
      </c>
      <c r="F23" s="69">
        <f>'Аренда земельных участков'!U39</f>
        <v>5950.772439127714</v>
      </c>
      <c r="G23" s="5">
        <f t="shared" si="0"/>
        <v>11502.673403936838</v>
      </c>
    </row>
    <row r="24" spans="1:7" ht="12.75">
      <c r="A24" s="6" t="s">
        <v>23</v>
      </c>
      <c r="B24" s="69">
        <f>'Имущество физ лиц'!L29</f>
        <v>1322.1746644186046</v>
      </c>
      <c r="C24" s="69"/>
      <c r="D24" s="69">
        <f>НДФЛ!AD47</f>
        <v>14499.080910000002</v>
      </c>
      <c r="E24" s="69">
        <f>ЕНВД!H37</f>
        <v>1867.7296699999997</v>
      </c>
      <c r="F24" s="69">
        <f>'Аренда земельных участков'!U27</f>
        <v>0</v>
      </c>
      <c r="G24" s="5">
        <f t="shared" si="0"/>
        <v>17688.985244418607</v>
      </c>
    </row>
    <row r="25" spans="1:7" ht="12.75">
      <c r="A25" s="6" t="s">
        <v>24</v>
      </c>
      <c r="B25" s="69">
        <f>'Имущество физ лиц'!L20</f>
        <v>13712.962993766476</v>
      </c>
      <c r="C25" s="69"/>
      <c r="D25" s="69">
        <f>НДФЛ!AD16</f>
        <v>0</v>
      </c>
      <c r="E25" s="69">
        <f>ЕНВД!H9</f>
        <v>0</v>
      </c>
      <c r="F25" s="305">
        <f>'Аренда земельных участков'!U22</f>
        <v>4102.820248531724</v>
      </c>
      <c r="G25" s="5">
        <f t="shared" si="0"/>
        <v>17815.7832422982</v>
      </c>
    </row>
    <row r="26" spans="1:7" ht="12.75">
      <c r="A26" s="6" t="s">
        <v>25</v>
      </c>
      <c r="B26" s="69">
        <f>'Имущество физ лиц'!L45</f>
        <v>442.9370336342214</v>
      </c>
      <c r="C26" s="69"/>
      <c r="D26" s="69">
        <f>НДФЛ!AD38</f>
        <v>6509.717700000001</v>
      </c>
      <c r="E26" s="69">
        <f>ЕНВД!H15</f>
        <v>2683.22546</v>
      </c>
      <c r="F26" s="69">
        <f>'Аренда земельных участков'!U50</f>
        <v>0</v>
      </c>
      <c r="G26" s="5">
        <f t="shared" si="0"/>
        <v>9635.880193634222</v>
      </c>
    </row>
    <row r="27" spans="1:7" ht="12.75">
      <c r="A27" s="6" t="s">
        <v>26</v>
      </c>
      <c r="B27" s="69">
        <f>'Имущество физ лиц'!L46</f>
        <v>481.7627284660978</v>
      </c>
      <c r="C27" s="69"/>
      <c r="D27" s="69">
        <f>НДФЛ!AD46</f>
        <v>5039.229510000002</v>
      </c>
      <c r="E27" s="69">
        <f>ЕНВД!H19</f>
        <v>3010.93502</v>
      </c>
      <c r="F27" s="305">
        <f>'Аренда земельных участков'!U40</f>
        <v>1402.4589795695451</v>
      </c>
      <c r="G27" s="5">
        <f t="shared" si="0"/>
        <v>9934.386238035644</v>
      </c>
    </row>
    <row r="28" spans="1:7" ht="12.75">
      <c r="A28" s="6" t="s">
        <v>27</v>
      </c>
      <c r="B28" s="69">
        <f>'Имущество физ лиц'!L37</f>
        <v>171.09473894779552</v>
      </c>
      <c r="C28" s="69"/>
      <c r="D28" s="69">
        <f>НДФЛ!AD42</f>
        <v>6381.46972</v>
      </c>
      <c r="E28" s="69">
        <f>ЕНВД!H42</f>
        <v>103.87541000000002</v>
      </c>
      <c r="F28" s="69">
        <f>'Аренда земельных участков'!U43</f>
        <v>60.41103794896792</v>
      </c>
      <c r="G28" s="5">
        <f t="shared" si="0"/>
        <v>6716.850906896762</v>
      </c>
    </row>
    <row r="29" spans="1:7" ht="12.75">
      <c r="A29" s="6" t="s">
        <v>28</v>
      </c>
      <c r="B29" s="69">
        <f>'Имущество физ лиц'!L47</f>
        <v>528.949054419999</v>
      </c>
      <c r="C29" s="69"/>
      <c r="D29" s="69">
        <f>НДФЛ!AD48</f>
        <v>0</v>
      </c>
      <c r="E29" s="69">
        <f>ЕНВД!H40</f>
        <v>655.06406</v>
      </c>
      <c r="F29" s="69">
        <f>'Аренда земельных участков'!U41</f>
        <v>243.91565738928904</v>
      </c>
      <c r="G29" s="5">
        <f t="shared" si="0"/>
        <v>1427.928771809288</v>
      </c>
    </row>
    <row r="30" spans="1:7" ht="12.75">
      <c r="A30" s="6" t="s">
        <v>29</v>
      </c>
      <c r="B30" s="69">
        <f>'Имущество физ лиц'!L25</f>
        <v>3004.4797936241594</v>
      </c>
      <c r="C30" s="69"/>
      <c r="D30" s="69">
        <f>НДФЛ!AD14</f>
        <v>26648.827770000007</v>
      </c>
      <c r="E30" s="69">
        <f>ЕНВД!H23</f>
        <v>8934.64839</v>
      </c>
      <c r="F30" s="69">
        <f>'Аренда земельных участков'!U32</f>
        <v>56057.43769786256</v>
      </c>
      <c r="G30" s="5">
        <f t="shared" si="0"/>
        <v>94645.39365148672</v>
      </c>
    </row>
    <row r="31" spans="1:7" ht="12.75">
      <c r="A31" s="6" t="s">
        <v>30</v>
      </c>
      <c r="B31" s="69">
        <f>'Имущество физ лиц'!L30</f>
        <v>4544.594535120019</v>
      </c>
      <c r="C31" s="69"/>
      <c r="D31" s="69">
        <f>НДФЛ!AD28</f>
        <v>32367.46861</v>
      </c>
      <c r="E31" s="69">
        <f>ЕНВД!H31</f>
        <v>0</v>
      </c>
      <c r="F31" s="305">
        <f>'Аренда земельных участков'!U28</f>
        <v>0</v>
      </c>
      <c r="G31" s="5">
        <f t="shared" si="0"/>
        <v>36912.06314512002</v>
      </c>
    </row>
    <row r="32" spans="1:7" ht="12.75">
      <c r="A32" s="6" t="s">
        <v>31</v>
      </c>
      <c r="B32" s="69">
        <f>'Имущество физ лиц'!L48</f>
        <v>1094.7655751773746</v>
      </c>
      <c r="C32" s="69"/>
      <c r="D32" s="69">
        <f>НДФЛ!AD34</f>
        <v>3289.8203299999973</v>
      </c>
      <c r="E32" s="69">
        <f>ЕНВД!H17</f>
        <v>3965.1781299999993</v>
      </c>
      <c r="F32" s="305">
        <f>'Аренда земельных участков'!U42</f>
        <v>0</v>
      </c>
      <c r="G32" s="5">
        <f t="shared" si="0"/>
        <v>8349.76403517737</v>
      </c>
    </row>
    <row r="33" spans="1:7" ht="12.75">
      <c r="A33" s="6" t="s">
        <v>32</v>
      </c>
      <c r="B33" s="69">
        <f>'Имущество физ лиц'!L31</f>
        <v>518.405950407057</v>
      </c>
      <c r="C33" s="69"/>
      <c r="D33" s="69">
        <f>НДФЛ!AD35</f>
        <v>2531.8091670400026</v>
      </c>
      <c r="E33" s="69">
        <f>ЕНВД!H33</f>
        <v>1489.5504399999998</v>
      </c>
      <c r="F33" s="69">
        <f>'Аренда земельных участков'!U29</f>
        <v>1054.6056433892893</v>
      </c>
      <c r="G33" s="5">
        <f t="shared" si="0"/>
        <v>5594.371200836348</v>
      </c>
    </row>
    <row r="34" spans="1:7" ht="12.75">
      <c r="A34" s="6" t="s">
        <v>33</v>
      </c>
      <c r="B34" s="69">
        <f>'Имущество физ лиц'!L24</f>
        <v>9199.654974495472</v>
      </c>
      <c r="C34" s="69"/>
      <c r="D34" s="69">
        <f>НДФЛ!AD24</f>
        <v>15622.112040380016</v>
      </c>
      <c r="E34" s="305">
        <f>ЕНВД!H18</f>
        <v>0</v>
      </c>
      <c r="F34" s="69">
        <f>'Аренда земельных участков'!U33</f>
        <v>191.95661180157435</v>
      </c>
      <c r="G34" s="5">
        <f t="shared" si="0"/>
        <v>25013.723626677063</v>
      </c>
    </row>
    <row r="35" spans="1:7" ht="12.75">
      <c r="A35" s="6" t="s">
        <v>34</v>
      </c>
      <c r="B35" s="69">
        <f>'Имущество физ лиц'!L32</f>
        <v>704.9073015001406</v>
      </c>
      <c r="C35" s="69"/>
      <c r="D35" s="69">
        <f>НДФЛ!AD17</f>
        <v>12742.313400000006</v>
      </c>
      <c r="E35" s="69">
        <f>ЕНВД!H27</f>
        <v>6957.4734100000005</v>
      </c>
      <c r="F35" s="305">
        <f>'Аренда земельных участков'!U30</f>
        <v>11.189996266797426</v>
      </c>
      <c r="G35" s="5">
        <f t="shared" si="0"/>
        <v>20415.884107766942</v>
      </c>
    </row>
    <row r="36" spans="1:7" ht="12.75">
      <c r="A36" s="6" t="s">
        <v>35</v>
      </c>
      <c r="B36" s="69">
        <f>'Имущество физ лиц'!L35</f>
        <v>677.0749426064913</v>
      </c>
      <c r="C36" s="69"/>
      <c r="D36" s="69">
        <f>НДФЛ!AD33</f>
        <v>9906.659280000003</v>
      </c>
      <c r="E36" s="305">
        <f>ЕНВД!H43</f>
        <v>282.74413000000015</v>
      </c>
      <c r="F36" s="305">
        <f>'Аренда земельных участков'!U44</f>
        <v>0</v>
      </c>
      <c r="G36" s="5">
        <f t="shared" si="0"/>
        <v>10866.478352606495</v>
      </c>
    </row>
    <row r="37" spans="1:7" ht="12.75">
      <c r="A37" s="6" t="s">
        <v>36</v>
      </c>
      <c r="B37" s="69">
        <f>'Имущество физ лиц'!L33</f>
        <v>1703.6285456339695</v>
      </c>
      <c r="C37" s="69"/>
      <c r="D37" s="69">
        <f>НДФЛ!AD39</f>
        <v>17171.401120000002</v>
      </c>
      <c r="E37" s="69">
        <f>ЕНВД!H34</f>
        <v>3279.06446</v>
      </c>
      <c r="F37" s="69">
        <f>'Аренда земельных участков'!U31</f>
        <v>231.5506684680968</v>
      </c>
      <c r="G37" s="5">
        <f t="shared" si="0"/>
        <v>22385.64479410207</v>
      </c>
    </row>
    <row r="38" spans="1:7" ht="12.75">
      <c r="A38" s="2" t="s">
        <v>37</v>
      </c>
      <c r="B38" s="69">
        <f>'Имущество физ лиц'!L36</f>
        <v>904.2619931977074</v>
      </c>
      <c r="C38" s="69"/>
      <c r="D38" s="69">
        <f>НДФЛ!AD43</f>
        <v>11502.799679999998</v>
      </c>
      <c r="E38" s="69">
        <f>ЕНВД!H26</f>
        <v>6664.1519800000015</v>
      </c>
      <c r="F38" s="69">
        <f>'Аренда земельных участков'!U45</f>
        <v>11158.159722812754</v>
      </c>
      <c r="G38" s="5">
        <f t="shared" si="0"/>
        <v>30229.373376010462</v>
      </c>
    </row>
    <row r="39" spans="1:7" ht="12.75">
      <c r="A39" s="2" t="s">
        <v>38</v>
      </c>
      <c r="B39" s="69">
        <f>'Имущество физ лиц'!L21</f>
        <v>6570.713512622554</v>
      </c>
      <c r="C39" s="69"/>
      <c r="D39" s="69">
        <f>НДФЛ!AD15</f>
        <v>32128.346810000014</v>
      </c>
      <c r="E39" s="69">
        <f>ЕНВД!H24</f>
        <v>2862.7045900000026</v>
      </c>
      <c r="F39" s="69">
        <f>'Аренда земельных участков'!U35</f>
        <v>873.7800462346817</v>
      </c>
      <c r="G39" s="5">
        <f t="shared" si="0"/>
        <v>42435.544958857245</v>
      </c>
    </row>
    <row r="40" spans="1:7" ht="12.75">
      <c r="A40" s="2" t="s">
        <v>39</v>
      </c>
      <c r="B40" s="69">
        <f>'Имущество физ лиц'!L22</f>
        <v>5971.314017878788</v>
      </c>
      <c r="C40" s="69"/>
      <c r="D40" s="69">
        <f>НДФЛ!AD27</f>
        <v>31669.03697999998</v>
      </c>
      <c r="E40" s="305">
        <f>ЕНВД!H10</f>
        <v>892.4426299999993</v>
      </c>
      <c r="F40" s="305">
        <f>'Аренда земельных участков'!U23</f>
        <v>0</v>
      </c>
      <c r="G40" s="5">
        <f t="shared" si="0"/>
        <v>38532.79362787877</v>
      </c>
    </row>
    <row r="41" spans="1:7" ht="12.75">
      <c r="A41" s="2" t="s">
        <v>40</v>
      </c>
      <c r="B41" s="69">
        <f>'Имущество физ лиц'!L23</f>
        <v>2932.681705940094</v>
      </c>
      <c r="C41" s="69"/>
      <c r="D41" s="69">
        <f>НДФЛ!AD36</f>
        <v>4206.660777159996</v>
      </c>
      <c r="E41" s="69">
        <f>ЕНВД!H21</f>
        <v>6795.183770000001</v>
      </c>
      <c r="F41" s="305">
        <f>'Аренда земельных участков'!U34</f>
        <v>12219.843404363888</v>
      </c>
      <c r="G41" s="5">
        <f t="shared" si="0"/>
        <v>26154.36965746398</v>
      </c>
    </row>
    <row r="42" spans="1:7" ht="12.75">
      <c r="A42" s="2" t="s">
        <v>41</v>
      </c>
      <c r="B42" s="69">
        <f>'Имущество физ лиц'!L39</f>
        <v>809.4179690176157</v>
      </c>
      <c r="C42" s="69"/>
      <c r="D42" s="69">
        <f>НДФЛ!AD45</f>
        <v>6392.416039999998</v>
      </c>
      <c r="E42" s="69">
        <f>ЕНВД!H41</f>
        <v>0</v>
      </c>
      <c r="F42" s="69">
        <f>'Аренда земельных участков'!U46</f>
        <v>2601.799138878428</v>
      </c>
      <c r="G42" s="5">
        <f t="shared" si="0"/>
        <v>9803.633147896042</v>
      </c>
    </row>
    <row r="43" spans="1:7" ht="12.75">
      <c r="A43" s="2" t="s">
        <v>42</v>
      </c>
      <c r="B43" s="69">
        <f>'Имущество физ лиц'!L40</f>
        <v>1061.954335368171</v>
      </c>
      <c r="C43" s="69"/>
      <c r="D43" s="69">
        <f>НДФЛ!AD41</f>
        <v>5163.273879999998</v>
      </c>
      <c r="E43" s="69">
        <f>ЕНВД!H39</f>
        <v>1361.6637299999998</v>
      </c>
      <c r="F43" s="69">
        <f>'Аренда земельных участков'!U47</f>
        <v>1966.933934423866</v>
      </c>
      <c r="G43" s="5">
        <f t="shared" si="0"/>
        <v>9553.825879792035</v>
      </c>
    </row>
    <row r="44" spans="1:7" ht="12.75">
      <c r="A44" s="2" t="s">
        <v>43</v>
      </c>
      <c r="B44" s="69">
        <f>'Имущество физ лиц'!L41</f>
        <v>561.114290562814</v>
      </c>
      <c r="C44" s="69"/>
      <c r="D44" s="69">
        <f>НДФЛ!AD44</f>
        <v>7518.54548</v>
      </c>
      <c r="E44" s="69">
        <f>ЕНВД!H35</f>
        <v>2443.9707599999997</v>
      </c>
      <c r="F44" s="69">
        <f>'Аренда земельных участков'!U48</f>
        <v>0</v>
      </c>
      <c r="G44" s="5">
        <f t="shared" si="0"/>
        <v>10523.630530562814</v>
      </c>
    </row>
    <row r="45" spans="1:7" ht="12.75">
      <c r="A45" s="2" t="s">
        <v>44</v>
      </c>
      <c r="B45" s="69">
        <f>'Имущество физ лиц'!L42</f>
        <v>2869.2343947237546</v>
      </c>
      <c r="C45" s="69"/>
      <c r="D45" s="69">
        <f>НДФЛ!AD31</f>
        <v>7209.256250000002</v>
      </c>
      <c r="E45" s="69">
        <f>ЕНВД!H36</f>
        <v>939.5964700000002</v>
      </c>
      <c r="F45" s="305">
        <f>'Аренда земельных участков'!U49</f>
        <v>1486.1988254443202</v>
      </c>
      <c r="G45" s="5">
        <f t="shared" si="0"/>
        <v>12504.285940168078</v>
      </c>
    </row>
    <row r="46" spans="1:7" s="9" customFormat="1" ht="12.75">
      <c r="A46" s="7" t="s">
        <v>45</v>
      </c>
      <c r="B46" s="304">
        <f aca="true" t="shared" si="1" ref="B46:G46">SUM(B8:B45)</f>
        <v>215032.29843476022</v>
      </c>
      <c r="C46" s="304">
        <f t="shared" si="1"/>
        <v>0</v>
      </c>
      <c r="D46" s="304">
        <f t="shared" si="1"/>
        <v>1712234.3636907306</v>
      </c>
      <c r="E46" s="304">
        <f t="shared" si="1"/>
        <v>275482.34913999995</v>
      </c>
      <c r="F46" s="304">
        <f t="shared" si="1"/>
        <v>807750.5718021576</v>
      </c>
      <c r="G46" s="8">
        <f t="shared" si="1"/>
        <v>3010499.5830676495</v>
      </c>
    </row>
  </sheetData>
  <sheetProtection/>
  <mergeCells count="3">
    <mergeCell ref="A6:A7"/>
    <mergeCell ref="B6:F6"/>
    <mergeCell ref="A4:G4"/>
  </mergeCells>
  <printOptions horizontalCentered="1" verticalCentered="1"/>
  <pageMargins left="0.3937007874015748" right="0.3937007874015748" top="0.23" bottom="0.3937007874015748" header="0.25" footer="0.42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PageLayoutView="0" workbookViewId="0" topLeftCell="A1">
      <pane xSplit="2" ySplit="5" topLeftCell="L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:B5"/>
    </sheetView>
  </sheetViews>
  <sheetFormatPr defaultColWidth="9.00390625" defaultRowHeight="12.75"/>
  <cols>
    <col min="1" max="1" width="26.00390625" style="10" customWidth="1"/>
    <col min="2" max="2" width="9.625" style="10" customWidth="1"/>
    <col min="3" max="3" width="11.25390625" style="10" customWidth="1"/>
    <col min="4" max="4" width="13.00390625" style="10" customWidth="1"/>
    <col min="5" max="5" width="11.625" style="10" customWidth="1"/>
    <col min="6" max="6" width="13.75390625" style="10" customWidth="1"/>
    <col min="7" max="7" width="12.875" style="10" customWidth="1"/>
    <col min="8" max="8" width="16.00390625" style="10" customWidth="1"/>
    <col min="9" max="10" width="15.625" style="10" customWidth="1"/>
    <col min="11" max="11" width="15.875" style="10" customWidth="1"/>
    <col min="12" max="13" width="9.25390625" style="10" bestFit="1" customWidth="1"/>
    <col min="14" max="15" width="10.875" style="10" customWidth="1"/>
    <col min="16" max="16" width="13.00390625" style="10" customWidth="1"/>
    <col min="17" max="17" width="12.125" style="10" customWidth="1"/>
    <col min="18" max="18" width="13.25390625" style="10" customWidth="1"/>
    <col min="19" max="19" width="11.75390625" style="10" customWidth="1"/>
    <col min="20" max="20" width="12.00390625" style="81" customWidth="1"/>
    <col min="21" max="16384" width="9.125" style="10" customWidth="1"/>
  </cols>
  <sheetData>
    <row r="1" ht="12.75">
      <c r="S1" s="10" t="s">
        <v>117</v>
      </c>
    </row>
    <row r="2" spans="1:20" ht="15.75">
      <c r="A2" s="86" t="s">
        <v>114</v>
      </c>
      <c r="F2" s="11" t="s">
        <v>70</v>
      </c>
      <c r="G2" s="11"/>
      <c r="T2" s="10"/>
    </row>
    <row r="3" spans="1:20" s="13" customFormat="1" ht="32.25" customHeight="1">
      <c r="A3" s="357"/>
      <c r="B3" s="357"/>
      <c r="C3" s="357" t="s">
        <v>87</v>
      </c>
      <c r="D3" s="354" t="s">
        <v>113</v>
      </c>
      <c r="E3" s="355"/>
      <c r="F3" s="355"/>
      <c r="G3" s="356"/>
      <c r="H3" s="363" t="s">
        <v>71</v>
      </c>
      <c r="I3" s="364"/>
      <c r="J3" s="364"/>
      <c r="K3" s="365"/>
      <c r="L3" s="354" t="s">
        <v>72</v>
      </c>
      <c r="M3" s="355"/>
      <c r="N3" s="355"/>
      <c r="O3" s="356"/>
      <c r="P3" s="367" t="s">
        <v>73</v>
      </c>
      <c r="Q3" s="367"/>
      <c r="R3" s="367"/>
      <c r="S3" s="367"/>
      <c r="T3" s="381" t="s">
        <v>116</v>
      </c>
    </row>
    <row r="4" spans="1:20" s="14" customFormat="1" ht="12.75">
      <c r="A4" s="353"/>
      <c r="B4" s="353"/>
      <c r="C4" s="358"/>
      <c r="D4" s="368" t="s">
        <v>74</v>
      </c>
      <c r="E4" s="369"/>
      <c r="F4" s="368" t="s">
        <v>86</v>
      </c>
      <c r="G4" s="369"/>
      <c r="H4" s="368" t="s">
        <v>74</v>
      </c>
      <c r="I4" s="369"/>
      <c r="J4" s="368" t="s">
        <v>86</v>
      </c>
      <c r="K4" s="369"/>
      <c r="L4" s="368" t="s">
        <v>74</v>
      </c>
      <c r="M4" s="369"/>
      <c r="N4" s="368" t="s">
        <v>86</v>
      </c>
      <c r="O4" s="369"/>
      <c r="P4" s="366" t="s">
        <v>74</v>
      </c>
      <c r="Q4" s="366"/>
      <c r="R4" s="366" t="s">
        <v>86</v>
      </c>
      <c r="S4" s="366"/>
      <c r="T4" s="381"/>
    </row>
    <row r="5" spans="1:20" s="13" customFormat="1" ht="33.75">
      <c r="A5" s="358"/>
      <c r="B5" s="358"/>
      <c r="C5" s="47"/>
      <c r="D5" s="12" t="s">
        <v>89</v>
      </c>
      <c r="E5" s="12" t="s">
        <v>88</v>
      </c>
      <c r="F5" s="12" t="s">
        <v>89</v>
      </c>
      <c r="G5" s="12" t="s">
        <v>88</v>
      </c>
      <c r="H5" s="12" t="s">
        <v>89</v>
      </c>
      <c r="I5" s="12" t="s">
        <v>88</v>
      </c>
      <c r="J5" s="12" t="s">
        <v>89</v>
      </c>
      <c r="K5" s="12" t="s">
        <v>88</v>
      </c>
      <c r="L5" s="12" t="s">
        <v>89</v>
      </c>
      <c r="M5" s="12" t="s">
        <v>88</v>
      </c>
      <c r="N5" s="12" t="s">
        <v>89</v>
      </c>
      <c r="O5" s="12" t="s">
        <v>88</v>
      </c>
      <c r="P5" s="12" t="s">
        <v>89</v>
      </c>
      <c r="Q5" s="12" t="s">
        <v>88</v>
      </c>
      <c r="R5" s="12" t="s">
        <v>89</v>
      </c>
      <c r="S5" s="12" t="s">
        <v>88</v>
      </c>
      <c r="T5" s="381"/>
    </row>
    <row r="6" spans="1:20" ht="12.75">
      <c r="A6" s="15" t="s">
        <v>47</v>
      </c>
      <c r="B6" s="362" t="s">
        <v>75</v>
      </c>
      <c r="C6" s="48">
        <v>1139040</v>
      </c>
      <c r="D6" s="16">
        <f>('[1]2006'!F8+'[1]2006'!G8+'[1]2006'!H8+'[1]2006'!I8)</f>
        <v>551019440.98</v>
      </c>
      <c r="E6" s="16"/>
      <c r="F6" s="17">
        <f>'Поступление на 01.07.07'!C7+'Поступление на 01.07.07'!I7</f>
        <v>368063238.8</v>
      </c>
      <c r="G6" s="17"/>
      <c r="H6" s="52">
        <v>24874800</v>
      </c>
      <c r="I6" s="18"/>
      <c r="J6" s="52">
        <v>24874800</v>
      </c>
      <c r="K6" s="6"/>
      <c r="L6" s="21">
        <f aca="true" t="shared" si="0" ref="L6:L45">D6/H6</f>
        <v>22.151713420007397</v>
      </c>
      <c r="M6" s="21"/>
      <c r="N6" s="19">
        <f aca="true" t="shared" si="1" ref="N6:N45">F6/J6</f>
        <v>14.796631080450899</v>
      </c>
      <c r="O6" s="77"/>
      <c r="P6" s="20">
        <f>($L$8-L6)*H6/1000</f>
        <v>509550.04539711494</v>
      </c>
      <c r="Q6" s="20"/>
      <c r="R6" s="20">
        <f>($N$6-N6)*J6/1000</f>
        <v>0</v>
      </c>
      <c r="S6" s="20"/>
      <c r="T6" s="17">
        <f>SUM(P6:Q6)</f>
        <v>509550.04539711494</v>
      </c>
    </row>
    <row r="7" spans="1:20" ht="12.75">
      <c r="A7" s="15" t="s">
        <v>48</v>
      </c>
      <c r="B7" s="359"/>
      <c r="C7" s="48">
        <v>718030</v>
      </c>
      <c r="D7" s="16">
        <v>708335000</v>
      </c>
      <c r="E7" s="16"/>
      <c r="F7" s="17">
        <v>284578000</v>
      </c>
      <c r="G7" s="17"/>
      <c r="H7" s="18">
        <v>29138761</v>
      </c>
      <c r="I7" s="18"/>
      <c r="J7" s="18">
        <v>29679193</v>
      </c>
      <c r="K7" s="6"/>
      <c r="L7" s="21">
        <f t="shared" si="0"/>
        <v>24.30902947452021</v>
      </c>
      <c r="M7" s="21"/>
      <c r="N7" s="19">
        <f t="shared" si="1"/>
        <v>9.588468257880193</v>
      </c>
      <c r="O7" s="77"/>
      <c r="P7" s="20">
        <f>($L$8-L7)*H7/1000</f>
        <v>534034.0155271805</v>
      </c>
      <c r="Q7" s="20"/>
      <c r="R7" s="20">
        <f>($N$6-N7)*J7/1000</f>
        <v>154574.06958650076</v>
      </c>
      <c r="S7" s="20"/>
      <c r="T7" s="17">
        <f aca="true" t="shared" si="2" ref="T7:T46">SUM(P7:Q7)</f>
        <v>534034.0155271805</v>
      </c>
    </row>
    <row r="8" spans="1:20" ht="12.75">
      <c r="A8" s="15" t="s">
        <v>49</v>
      </c>
      <c r="B8" s="359"/>
      <c r="C8" s="48">
        <v>180595</v>
      </c>
      <c r="D8" s="16">
        <v>131046000</v>
      </c>
      <c r="E8" s="16"/>
      <c r="F8" s="17">
        <v>49836000</v>
      </c>
      <c r="G8" s="17"/>
      <c r="H8" s="18">
        <v>3073578</v>
      </c>
      <c r="I8" s="18"/>
      <c r="J8" s="18">
        <v>4705994</v>
      </c>
      <c r="K8" s="6"/>
      <c r="L8" s="97">
        <f t="shared" si="0"/>
        <v>42.63630205577994</v>
      </c>
      <c r="M8" s="21"/>
      <c r="N8" s="19">
        <f t="shared" si="1"/>
        <v>10.589898754652046</v>
      </c>
      <c r="O8" s="77"/>
      <c r="P8" s="20">
        <f>($L$8-L8)*H8/1000</f>
        <v>0</v>
      </c>
      <c r="Q8" s="20"/>
      <c r="R8" s="20">
        <f>($N$6-N8)*J8/1000</f>
        <v>19796.85708481545</v>
      </c>
      <c r="S8" s="20"/>
      <c r="T8" s="17">
        <f t="shared" si="2"/>
        <v>0</v>
      </c>
    </row>
    <row r="9" spans="1:20" ht="12.75">
      <c r="A9" s="22" t="s">
        <v>50</v>
      </c>
      <c r="B9" s="359"/>
      <c r="C9" s="48">
        <v>113559</v>
      </c>
      <c r="D9" s="23">
        <v>358719000</v>
      </c>
      <c r="E9" s="23"/>
      <c r="F9" s="24">
        <v>96889000</v>
      </c>
      <c r="G9" s="24"/>
      <c r="H9" s="25">
        <v>33340256</v>
      </c>
      <c r="I9" s="25"/>
      <c r="J9" s="25">
        <v>33585267</v>
      </c>
      <c r="K9" s="6"/>
      <c r="L9" s="21">
        <f t="shared" si="0"/>
        <v>10.75933550120311</v>
      </c>
      <c r="M9" s="21"/>
      <c r="N9" s="19">
        <f t="shared" si="1"/>
        <v>2.8848661527687125</v>
      </c>
      <c r="O9" s="77"/>
      <c r="P9" s="94">
        <f>(L10-L9)*H9/1000</f>
        <v>286175.0604431886</v>
      </c>
      <c r="Q9" s="20"/>
      <c r="R9" s="99" t="s">
        <v>79</v>
      </c>
      <c r="S9" s="20"/>
      <c r="T9" s="17">
        <f t="shared" si="2"/>
        <v>286175.0604431886</v>
      </c>
    </row>
    <row r="10" spans="1:20" ht="12.75">
      <c r="A10" s="26"/>
      <c r="B10" s="27"/>
      <c r="C10" s="49"/>
      <c r="D10" s="87">
        <f>SUM(D6:D9)</f>
        <v>1749119440.98</v>
      </c>
      <c r="E10" s="28"/>
      <c r="F10" s="29"/>
      <c r="G10" s="29"/>
      <c r="H10" s="88">
        <f>SUM(H6:H9)</f>
        <v>90427395</v>
      </c>
      <c r="I10" s="30"/>
      <c r="J10" s="30"/>
      <c r="K10" s="30"/>
      <c r="L10" s="89">
        <f t="shared" si="0"/>
        <v>19.34280469961564</v>
      </c>
      <c r="M10" s="21"/>
      <c r="N10" s="19"/>
      <c r="O10" s="77"/>
      <c r="P10" s="75"/>
      <c r="Q10" s="75"/>
      <c r="R10" s="76"/>
      <c r="S10" s="6"/>
      <c r="T10" s="17"/>
    </row>
    <row r="11" spans="1:20" ht="12.75">
      <c r="A11" s="34" t="s">
        <v>51</v>
      </c>
      <c r="B11" s="359" t="s">
        <v>76</v>
      </c>
      <c r="C11" s="48">
        <v>73038</v>
      </c>
      <c r="D11" s="35">
        <v>9715000</v>
      </c>
      <c r="E11" s="35"/>
      <c r="F11" s="36">
        <v>3870574</v>
      </c>
      <c r="G11" s="36"/>
      <c r="H11" s="37">
        <v>2385252</v>
      </c>
      <c r="I11" s="37"/>
      <c r="J11" s="37">
        <v>178433</v>
      </c>
      <c r="K11" s="6"/>
      <c r="L11" s="21">
        <f t="shared" si="0"/>
        <v>4.072944913158023</v>
      </c>
      <c r="M11" s="21"/>
      <c r="N11" s="19">
        <f t="shared" si="1"/>
        <v>21.692030061703832</v>
      </c>
      <c r="O11" s="77"/>
      <c r="P11" s="38">
        <f>($L$12-L11)*H11/1000</f>
        <v>13595.326379074948</v>
      </c>
      <c r="Q11" s="38"/>
      <c r="R11" s="99" t="s">
        <v>79</v>
      </c>
      <c r="S11" s="20"/>
      <c r="T11" s="17">
        <f t="shared" si="2"/>
        <v>13595.326379074948</v>
      </c>
    </row>
    <row r="12" spans="1:20" ht="12.75">
      <c r="A12" s="15" t="s">
        <v>52</v>
      </c>
      <c r="B12" s="359"/>
      <c r="C12" s="48">
        <v>48548</v>
      </c>
      <c r="D12" s="16">
        <v>22032000</v>
      </c>
      <c r="E12" s="16"/>
      <c r="F12" s="17">
        <v>6718000</v>
      </c>
      <c r="G12" s="17"/>
      <c r="H12" s="18">
        <v>2254446</v>
      </c>
      <c r="I12" s="18"/>
      <c r="J12" s="18">
        <v>2377507</v>
      </c>
      <c r="K12" s="6"/>
      <c r="L12" s="97">
        <f t="shared" si="0"/>
        <v>9.772689166207574</v>
      </c>
      <c r="M12" s="21"/>
      <c r="N12" s="19">
        <f t="shared" si="1"/>
        <v>2.825648883473319</v>
      </c>
      <c r="O12" s="77"/>
      <c r="P12" s="38">
        <f>($L$12-L12)*H12/1000</f>
        <v>0</v>
      </c>
      <c r="Q12" s="38"/>
      <c r="R12" s="20">
        <f>($N$13-N12)*J12/1000</f>
        <v>12909.03774685686</v>
      </c>
      <c r="S12" s="20"/>
      <c r="T12" s="17">
        <f t="shared" si="2"/>
        <v>0</v>
      </c>
    </row>
    <row r="13" spans="1:20" ht="12.75">
      <c r="A13" s="15" t="s">
        <v>53</v>
      </c>
      <c r="B13" s="359"/>
      <c r="C13" s="48">
        <v>61543</v>
      </c>
      <c r="D13" s="16">
        <v>7977000</v>
      </c>
      <c r="E13" s="16"/>
      <c r="F13" s="17">
        <v>2264000</v>
      </c>
      <c r="G13" s="17"/>
      <c r="H13" s="18">
        <v>330578</v>
      </c>
      <c r="I13" s="18"/>
      <c r="J13" s="18">
        <v>274248</v>
      </c>
      <c r="K13" s="6"/>
      <c r="L13" s="21">
        <f t="shared" si="0"/>
        <v>24.130462402216722</v>
      </c>
      <c r="M13" s="21"/>
      <c r="N13" s="19">
        <f t="shared" si="1"/>
        <v>8.255301770660132</v>
      </c>
      <c r="O13" s="77"/>
      <c r="P13" s="99" t="s">
        <v>79</v>
      </c>
      <c r="Q13" s="38"/>
      <c r="R13" s="20">
        <f>($N$13-N13)*J13/1000</f>
        <v>0</v>
      </c>
      <c r="S13" s="20"/>
      <c r="T13" s="17">
        <f t="shared" si="2"/>
        <v>0</v>
      </c>
    </row>
    <row r="14" spans="1:20" ht="12.75">
      <c r="A14" s="15" t="s">
        <v>54</v>
      </c>
      <c r="B14" s="359"/>
      <c r="C14" s="48">
        <v>26801</v>
      </c>
      <c r="D14" s="16">
        <v>2551000</v>
      </c>
      <c r="E14" s="16"/>
      <c r="F14" s="17">
        <v>1011000</v>
      </c>
      <c r="G14" s="17"/>
      <c r="H14" s="18">
        <v>600579</v>
      </c>
      <c r="I14" s="18"/>
      <c r="J14" s="18">
        <v>509787</v>
      </c>
      <c r="K14" s="6"/>
      <c r="L14" s="21">
        <f t="shared" si="0"/>
        <v>4.247567763774624</v>
      </c>
      <c r="M14" s="21"/>
      <c r="N14" s="19">
        <f t="shared" si="1"/>
        <v>1.983181210976349</v>
      </c>
      <c r="O14" s="77"/>
      <c r="P14" s="38">
        <f>($L$12-L14)*H14/1000</f>
        <v>3318.2718867517783</v>
      </c>
      <c r="Q14" s="38"/>
      <c r="R14" s="20">
        <f>($N$13-N14)*J14/1000</f>
        <v>3197.445523759517</v>
      </c>
      <c r="S14" s="20"/>
      <c r="T14" s="17">
        <f t="shared" si="2"/>
        <v>3318.2718867517783</v>
      </c>
    </row>
    <row r="15" spans="1:20" ht="12.75">
      <c r="A15" s="15" t="s">
        <v>55</v>
      </c>
      <c r="B15" s="359"/>
      <c r="C15" s="48">
        <v>51185</v>
      </c>
      <c r="D15" s="16">
        <v>4120000</v>
      </c>
      <c r="E15" s="16"/>
      <c r="F15" s="17">
        <v>4641000</v>
      </c>
      <c r="G15" s="17"/>
      <c r="H15" s="44">
        <v>1576543</v>
      </c>
      <c r="I15" s="18"/>
      <c r="J15" s="18">
        <v>2292143</v>
      </c>
      <c r="K15" s="6"/>
      <c r="L15" s="21">
        <f t="shared" si="0"/>
        <v>2.6133127989531526</v>
      </c>
      <c r="M15" s="21"/>
      <c r="N15" s="19">
        <f t="shared" si="1"/>
        <v>2.024742784372528</v>
      </c>
      <c r="O15" s="77"/>
      <c r="P15" s="38">
        <f>($L$12-L15)*H15/1000</f>
        <v>11287.064696160385</v>
      </c>
      <c r="Q15" s="38"/>
      <c r="R15" s="20">
        <f>($N$13-N15)*J15/1000</f>
        <v>14281.332166506229</v>
      </c>
      <c r="S15" s="20"/>
      <c r="T15" s="17">
        <f t="shared" si="2"/>
        <v>11287.064696160385</v>
      </c>
    </row>
    <row r="16" spans="1:20" ht="12.75">
      <c r="A16" s="22" t="s">
        <v>56</v>
      </c>
      <c r="B16" s="359"/>
      <c r="C16" s="48">
        <v>29107</v>
      </c>
      <c r="D16" s="23">
        <v>17811000</v>
      </c>
      <c r="E16" s="23"/>
      <c r="F16" s="24">
        <v>5349000</v>
      </c>
      <c r="G16" s="24"/>
      <c r="H16" s="45">
        <v>25925604</v>
      </c>
      <c r="I16" s="25"/>
      <c r="J16" s="25">
        <v>23656833</v>
      </c>
      <c r="K16" s="6"/>
      <c r="L16" s="21">
        <f t="shared" si="0"/>
        <v>0.6870042449155669</v>
      </c>
      <c r="M16" s="21"/>
      <c r="N16" s="19">
        <f t="shared" si="1"/>
        <v>0.22610803398747414</v>
      </c>
      <c r="O16" s="77"/>
      <c r="P16" s="38">
        <f>(L17-L16)*H16/1000</f>
        <v>32519.45776806109</v>
      </c>
      <c r="Q16" s="39"/>
      <c r="R16" s="20">
        <f>($N$13-N16)*J16/1000</f>
        <v>189945.29535311105</v>
      </c>
      <c r="S16" s="20"/>
      <c r="T16" s="17">
        <f t="shared" si="2"/>
        <v>32519.45776806109</v>
      </c>
    </row>
    <row r="17" spans="1:20" ht="12.75">
      <c r="A17" s="26"/>
      <c r="B17" s="40"/>
      <c r="C17" s="50"/>
      <c r="D17" s="87">
        <f>SUM(D11:D16)</f>
        <v>64206000</v>
      </c>
      <c r="E17" s="28"/>
      <c r="F17" s="29"/>
      <c r="G17" s="29"/>
      <c r="H17" s="88">
        <f>SUM(H11:H16)</f>
        <v>33073002</v>
      </c>
      <c r="I17" s="30"/>
      <c r="J17" s="30"/>
      <c r="K17" s="30"/>
      <c r="L17" s="89">
        <f t="shared" si="0"/>
        <v>1.9413417626860725</v>
      </c>
      <c r="M17" s="21"/>
      <c r="N17" s="19"/>
      <c r="O17" s="77"/>
      <c r="P17" s="32"/>
      <c r="Q17" s="32"/>
      <c r="R17" s="33"/>
      <c r="S17" s="6"/>
      <c r="T17" s="17">
        <f t="shared" si="2"/>
        <v>0</v>
      </c>
    </row>
    <row r="18" spans="1:20" ht="12.75">
      <c r="A18" s="34" t="s">
        <v>24</v>
      </c>
      <c r="B18" s="362" t="s">
        <v>77</v>
      </c>
      <c r="C18" s="48">
        <v>80381</v>
      </c>
      <c r="D18" s="35">
        <f>Лист1!Q38</f>
        <v>20381023</v>
      </c>
      <c r="E18" s="35">
        <f>Лист1!P38</f>
        <v>98530</v>
      </c>
      <c r="F18" s="36">
        <f>Лист1!Q39</f>
        <v>33249776</v>
      </c>
      <c r="G18" s="36">
        <f>Лист1!P39</f>
        <v>26833</v>
      </c>
      <c r="H18" s="51">
        <v>3232333</v>
      </c>
      <c r="I18" s="37"/>
      <c r="J18" s="51">
        <v>3232333</v>
      </c>
      <c r="K18" s="37"/>
      <c r="L18" s="83">
        <f t="shared" si="0"/>
        <v>6.305359936615441</v>
      </c>
      <c r="M18" s="83"/>
      <c r="N18" s="84">
        <f t="shared" si="1"/>
        <v>10.286618365125127</v>
      </c>
      <c r="O18" s="85"/>
      <c r="P18" s="38">
        <f>($L$20-L18)*H18/1000</f>
        <v>15012.107364470154</v>
      </c>
      <c r="Q18" s="38"/>
      <c r="R18" s="38">
        <f>($N$18-N18)*J18/1000</f>
        <v>0</v>
      </c>
      <c r="S18" s="20"/>
      <c r="T18" s="17">
        <f t="shared" si="2"/>
        <v>15012.107364470154</v>
      </c>
    </row>
    <row r="19" spans="1:20" ht="12.75">
      <c r="A19" s="15" t="s">
        <v>38</v>
      </c>
      <c r="B19" s="359"/>
      <c r="C19" s="48">
        <v>46252</v>
      </c>
      <c r="D19" s="16">
        <f>Лист1!Q66</f>
        <v>17889267</v>
      </c>
      <c r="E19" s="16">
        <f>Лист1!P66</f>
        <v>116206</v>
      </c>
      <c r="F19" s="17">
        <f>Лист1!Q67</f>
        <v>1115314</v>
      </c>
      <c r="G19" s="17">
        <f>Лист1!P67</f>
        <v>58103</v>
      </c>
      <c r="H19" s="18">
        <f>Лист1!L66</f>
        <v>15510393</v>
      </c>
      <c r="I19" s="18">
        <f>Лист1!K66</f>
        <v>17581829</v>
      </c>
      <c r="J19" s="18">
        <f>Лист1!L67</f>
        <v>5489050</v>
      </c>
      <c r="K19" s="18">
        <f>Лист1!K67</f>
        <v>21178929</v>
      </c>
      <c r="L19" s="83">
        <f t="shared" si="0"/>
        <v>1.1533729029303126</v>
      </c>
      <c r="M19" s="83">
        <f aca="true" t="shared" si="3" ref="M19:M45">E19/I19</f>
        <v>0.00660943750505138</v>
      </c>
      <c r="N19" s="84">
        <f t="shared" si="1"/>
        <v>0.2031888942531039</v>
      </c>
      <c r="O19" s="85">
        <f aca="true" t="shared" si="4" ref="O19:O45">G19/K19</f>
        <v>0.0027434342879189026</v>
      </c>
      <c r="P19" s="95">
        <f>(L21-L19)*H19/1000</f>
        <v>18302.558788805636</v>
      </c>
      <c r="Q19" s="38">
        <f>($M$20-M19)*I19/1000</f>
        <v>20661.459353271755</v>
      </c>
      <c r="R19" s="38">
        <f>($N$18-N19)*J19/1000</f>
        <v>55348.44853709008</v>
      </c>
      <c r="S19" s="20">
        <f>($O$20-O19)*K19/1000</f>
        <v>22891.574825938176</v>
      </c>
      <c r="T19" s="17">
        <f t="shared" si="2"/>
        <v>38964.01814207739</v>
      </c>
    </row>
    <row r="20" spans="1:20" ht="12.75">
      <c r="A20" s="15" t="s">
        <v>39</v>
      </c>
      <c r="B20" s="359"/>
      <c r="C20" s="48">
        <v>49111</v>
      </c>
      <c r="D20" s="16">
        <f>Лист1!Q68</f>
        <v>6943500</v>
      </c>
      <c r="E20" s="16">
        <f>Лист1!P68</f>
        <v>206500</v>
      </c>
      <c r="F20" s="17">
        <f>Лист1!Q69</f>
        <v>2862000</v>
      </c>
      <c r="G20" s="17">
        <f>Лист1!P69</f>
        <v>190000</v>
      </c>
      <c r="H20" s="18">
        <f>Лист1!L68</f>
        <v>634126</v>
      </c>
      <c r="I20" s="18">
        <f>Лист1!K68</f>
        <v>174738</v>
      </c>
      <c r="J20" s="18">
        <f>Лист1!L69</f>
        <v>664902</v>
      </c>
      <c r="K20" s="18">
        <f>Лист1!K69</f>
        <v>175340</v>
      </c>
      <c r="L20" s="98">
        <f t="shared" si="0"/>
        <v>10.94971661783305</v>
      </c>
      <c r="M20" s="98">
        <f t="shared" si="3"/>
        <v>1.181769277432499</v>
      </c>
      <c r="N20" s="84">
        <f t="shared" si="1"/>
        <v>4.3043937302038495</v>
      </c>
      <c r="O20" s="85">
        <f t="shared" si="4"/>
        <v>1.0836089882513973</v>
      </c>
      <c r="P20" s="38">
        <f>($L$20-L20)*H20/1000</f>
        <v>0</v>
      </c>
      <c r="Q20" s="38">
        <f>($M$20-M20)*I20/1000</f>
        <v>0</v>
      </c>
      <c r="R20" s="38">
        <f>($N$18-N20)*J20/1000</f>
        <v>3977.5931242084275</v>
      </c>
      <c r="S20" s="20">
        <f>($O$20-O20)*K20/1000</f>
        <v>0</v>
      </c>
      <c r="T20" s="17">
        <f t="shared" si="2"/>
        <v>0</v>
      </c>
    </row>
    <row r="21" spans="1:20" ht="12.75">
      <c r="A21" s="26"/>
      <c r="B21" s="40"/>
      <c r="C21" s="50"/>
      <c r="D21" s="87">
        <f>SUM(D18:D20)</f>
        <v>45213790</v>
      </c>
      <c r="E21" s="28"/>
      <c r="F21" s="29"/>
      <c r="G21" s="29"/>
      <c r="H21" s="88">
        <f>SUM(H18:H20)</f>
        <v>19376852</v>
      </c>
      <c r="I21" s="30"/>
      <c r="J21" s="30"/>
      <c r="K21" s="30"/>
      <c r="L21" s="90">
        <f t="shared" si="0"/>
        <v>2.333391925582133</v>
      </c>
      <c r="M21" s="83"/>
      <c r="N21" s="84"/>
      <c r="O21" s="85"/>
      <c r="P21" s="32"/>
      <c r="Q21" s="32"/>
      <c r="R21" s="33"/>
      <c r="S21" s="6"/>
      <c r="T21" s="17"/>
    </row>
    <row r="22" spans="1:20" ht="12.75">
      <c r="A22" s="34" t="s">
        <v>19</v>
      </c>
      <c r="B22" s="362" t="s">
        <v>78</v>
      </c>
      <c r="C22" s="48">
        <v>41348</v>
      </c>
      <c r="D22" s="35">
        <f>Лист1!Q28</f>
        <v>5053400</v>
      </c>
      <c r="E22" s="35">
        <f>Лист1!P28</f>
        <v>223100</v>
      </c>
      <c r="F22" s="36">
        <f>Лист1!Q29</f>
        <v>1125700</v>
      </c>
      <c r="G22" s="36">
        <f>Лист1!P29</f>
        <v>24800</v>
      </c>
      <c r="H22" s="46">
        <f>Лист1!L28</f>
        <v>3712095</v>
      </c>
      <c r="I22" s="37">
        <f>Лист1!K28</f>
        <v>28543305</v>
      </c>
      <c r="J22" s="46">
        <f>Лист1!L29</f>
        <v>3712095</v>
      </c>
      <c r="K22" s="37">
        <f>Лист1!K29</f>
        <v>29100921</v>
      </c>
      <c r="L22" s="83">
        <f t="shared" si="0"/>
        <v>1.3613336943154741</v>
      </c>
      <c r="M22" s="83">
        <f t="shared" si="3"/>
        <v>0.007816193674838986</v>
      </c>
      <c r="N22" s="84">
        <f t="shared" si="1"/>
        <v>0.30325193724837324</v>
      </c>
      <c r="O22" s="85">
        <f t="shared" si="4"/>
        <v>0.0008522067050730113</v>
      </c>
      <c r="P22" s="38">
        <f>($L$29-L22)*H22/1000</f>
        <v>9916.55690168859</v>
      </c>
      <c r="Q22" s="38">
        <f>($M$24-M22)*I22/1000</f>
        <v>2242.7801092896175</v>
      </c>
      <c r="R22" s="38">
        <f>($N$28-N22)*J22/1000</f>
        <v>1073.5885681902143</v>
      </c>
      <c r="S22" s="20">
        <f>($O$22-O22)*K22/1000</f>
        <v>0</v>
      </c>
      <c r="T22" s="17">
        <f t="shared" si="2"/>
        <v>12159.337010978206</v>
      </c>
    </row>
    <row r="23" spans="1:20" ht="12.75">
      <c r="A23" s="15" t="s">
        <v>20</v>
      </c>
      <c r="B23" s="359"/>
      <c r="C23" s="48">
        <v>15453</v>
      </c>
      <c r="D23" s="16">
        <f>Лист1!Q30</f>
        <v>987761</v>
      </c>
      <c r="E23" s="16">
        <f>Лист1!P30</f>
        <v>287062</v>
      </c>
      <c r="F23" s="17">
        <f>Лист1!Q31</f>
        <v>449024</v>
      </c>
      <c r="G23" s="17">
        <f>Лист1!P31</f>
        <v>58254</v>
      </c>
      <c r="H23" s="18">
        <f>Лист1!L30</f>
        <v>828285</v>
      </c>
      <c r="I23" s="18">
        <f>Лист1!K30</f>
        <v>56653215</v>
      </c>
      <c r="J23" s="18">
        <f>Лист1!L31</f>
        <v>282285</v>
      </c>
      <c r="K23" s="18">
        <f>Лист1!K31</f>
        <v>56653215</v>
      </c>
      <c r="L23" s="83">
        <f t="shared" si="0"/>
        <v>1.1925375927367996</v>
      </c>
      <c r="M23" s="83">
        <f t="shared" si="3"/>
        <v>0.005067002817051071</v>
      </c>
      <c r="N23" s="84">
        <f t="shared" si="1"/>
        <v>1.5906760897674337</v>
      </c>
      <c r="O23" s="85">
        <f t="shared" si="4"/>
        <v>0.0010282558545000491</v>
      </c>
      <c r="P23" s="38">
        <f>($L$29-L23)*H23/1000</f>
        <v>2352.50662577874</v>
      </c>
      <c r="Q23" s="38">
        <f>($M$24-M23)*I23/1000</f>
        <v>4607.256860265418</v>
      </c>
      <c r="R23" s="38">
        <f aca="true" t="shared" si="5" ref="R23:R28">($N$28-N23)*J23/1000</f>
        <v>-281.77984987141366</v>
      </c>
      <c r="S23" s="20">
        <f aca="true" t="shared" si="6" ref="S23:S30">($O$22-O23)*K23/1000</f>
        <v>-9.973750313057103</v>
      </c>
      <c r="T23" s="17">
        <f t="shared" si="2"/>
        <v>6959.763486044158</v>
      </c>
    </row>
    <row r="24" spans="1:20" ht="12.75">
      <c r="A24" s="15" t="s">
        <v>23</v>
      </c>
      <c r="B24" s="359"/>
      <c r="C24" s="48">
        <v>24572</v>
      </c>
      <c r="D24" s="16">
        <f>Лист1!Q36</f>
        <v>357499</v>
      </c>
      <c r="E24" s="16">
        <f>Лист1!P36</f>
        <v>425624</v>
      </c>
      <c r="F24" s="17">
        <f>Лист1!Q37</f>
        <v>115015</v>
      </c>
      <c r="G24" s="17">
        <f>Лист1!P37</f>
        <v>138843</v>
      </c>
      <c r="H24" s="18">
        <f>Лист1!L36</f>
        <v>4137530</v>
      </c>
      <c r="I24" s="18">
        <f>Лист1!K36</f>
        <v>4926726</v>
      </c>
      <c r="J24" s="18">
        <f>Лист1!L37</f>
        <v>2700215</v>
      </c>
      <c r="K24" s="18">
        <f>Лист1!K37</f>
        <v>3259632</v>
      </c>
      <c r="L24" s="83">
        <f t="shared" si="0"/>
        <v>0.08640396565100435</v>
      </c>
      <c r="M24" s="98">
        <f t="shared" si="3"/>
        <v>0.08639084048920115</v>
      </c>
      <c r="N24" s="84">
        <f t="shared" si="1"/>
        <v>0.042594756343476356</v>
      </c>
      <c r="O24" s="85">
        <f t="shared" si="4"/>
        <v>0.042594685535054265</v>
      </c>
      <c r="P24" s="38">
        <f aca="true" t="shared" si="7" ref="P24:P30">($L$29-L24)*H24/1000</f>
        <v>16328.131561567952</v>
      </c>
      <c r="Q24" s="38">
        <f aca="true" t="shared" si="8" ref="Q24:Q31">($M$24-M24)*I24/1000</f>
        <v>0</v>
      </c>
      <c r="R24" s="38">
        <f t="shared" si="5"/>
        <v>1484.7694831976933</v>
      </c>
      <c r="S24" s="99" t="s">
        <v>79</v>
      </c>
      <c r="T24" s="17">
        <f t="shared" si="2"/>
        <v>16328.131561567952</v>
      </c>
    </row>
    <row r="25" spans="1:20" ht="12.75">
      <c r="A25" s="15" t="s">
        <v>30</v>
      </c>
      <c r="B25" s="359"/>
      <c r="C25" s="48">
        <v>47980</v>
      </c>
      <c r="D25" s="16">
        <f>Лист1!Q50</f>
        <v>6919455</v>
      </c>
      <c r="E25" s="16">
        <f>Лист1!P50</f>
        <v>1009900</v>
      </c>
      <c r="F25" s="17">
        <f>Лист1!Q51</f>
        <v>4272447</v>
      </c>
      <c r="G25" s="17">
        <f>Лист1!P51</f>
        <v>802400</v>
      </c>
      <c r="H25" s="44">
        <f>Лист1!L50</f>
        <v>6359257</v>
      </c>
      <c r="I25" s="18">
        <f>Лист1!K50</f>
        <v>314996460</v>
      </c>
      <c r="J25" s="44">
        <f>Лист1!L51</f>
        <v>7573009</v>
      </c>
      <c r="K25" s="18">
        <f>Лист1!K51</f>
        <v>320275211</v>
      </c>
      <c r="L25" s="83">
        <f t="shared" si="0"/>
        <v>1.088091737761188</v>
      </c>
      <c r="M25" s="83">
        <f t="shared" si="3"/>
        <v>0.003206067776126754</v>
      </c>
      <c r="N25" s="84">
        <f t="shared" si="1"/>
        <v>0.5641676908082375</v>
      </c>
      <c r="O25" s="85">
        <f t="shared" si="4"/>
        <v>0.002505345316906215</v>
      </c>
      <c r="P25" s="38">
        <f t="shared" si="7"/>
        <v>18725.848586454948</v>
      </c>
      <c r="Q25" s="38">
        <f t="shared" si="8"/>
        <v>26202.90893052303</v>
      </c>
      <c r="R25" s="38">
        <f t="shared" si="5"/>
        <v>214.30027357505938</v>
      </c>
      <c r="S25" s="20">
        <f t="shared" si="6"/>
        <v>-529.4593177171266</v>
      </c>
      <c r="T25" s="17">
        <f t="shared" si="2"/>
        <v>44928.757516977974</v>
      </c>
    </row>
    <row r="26" spans="1:20" ht="12.75">
      <c r="A26" s="15" t="s">
        <v>32</v>
      </c>
      <c r="B26" s="359"/>
      <c r="C26" s="48">
        <v>18497</v>
      </c>
      <c r="D26" s="16">
        <f>Лист1!Q54</f>
        <v>800801</v>
      </c>
      <c r="E26" s="16">
        <f>Лист1!P54</f>
        <v>819062</v>
      </c>
      <c r="F26" s="17">
        <f>Лист1!Q55</f>
        <v>98001</v>
      </c>
      <c r="G26" s="17">
        <f>Лист1!P55</f>
        <v>137699</v>
      </c>
      <c r="H26" s="18">
        <f>Лист1!L54</f>
        <v>844962</v>
      </c>
      <c r="I26" s="18">
        <f>Лист1!K54</f>
        <v>143445483</v>
      </c>
      <c r="J26" s="18">
        <f>Лист1!L55</f>
        <v>846988</v>
      </c>
      <c r="K26" s="18">
        <f>Лист1!K55</f>
        <v>158416473</v>
      </c>
      <c r="L26" s="83">
        <f t="shared" si="0"/>
        <v>0.9477361112097349</v>
      </c>
      <c r="M26" s="83">
        <f t="shared" si="3"/>
        <v>0.005709918380629664</v>
      </c>
      <c r="N26" s="84">
        <f t="shared" si="1"/>
        <v>0.11570529924863163</v>
      </c>
      <c r="O26" s="85">
        <f t="shared" si="4"/>
        <v>0.0008692214729461878</v>
      </c>
      <c r="P26" s="38">
        <f t="shared" si="7"/>
        <v>2606.7208235429302</v>
      </c>
      <c r="Q26" s="38">
        <f t="shared" si="8"/>
        <v>11573.313840749415</v>
      </c>
      <c r="R26" s="38">
        <f t="shared" si="5"/>
        <v>403.8102483097263</v>
      </c>
      <c r="S26" s="20">
        <f t="shared" si="6"/>
        <v>-2.6954195153823473</v>
      </c>
      <c r="T26" s="17">
        <f t="shared" si="2"/>
        <v>14180.034664292345</v>
      </c>
    </row>
    <row r="27" spans="1:20" ht="12.75">
      <c r="A27" s="15" t="s">
        <v>34</v>
      </c>
      <c r="B27" s="359"/>
      <c r="C27" s="48">
        <v>31743</v>
      </c>
      <c r="D27" s="16">
        <v>21473</v>
      </c>
      <c r="E27" s="16">
        <f>Лист1!P58</f>
        <v>7940694</v>
      </c>
      <c r="F27" s="17">
        <f>Лист1!Q59</f>
        <v>951920</v>
      </c>
      <c r="G27" s="17">
        <f>Лист1!P59</f>
        <v>362879</v>
      </c>
      <c r="H27" s="18">
        <f>Лист1!L58</f>
        <v>8874997</v>
      </c>
      <c r="I27" s="18">
        <f>Лист1!K58</f>
        <v>5241862</v>
      </c>
      <c r="J27" s="18">
        <f>Лист1!L59</f>
        <v>557994</v>
      </c>
      <c r="K27" s="18">
        <f>Лист1!K59</f>
        <v>7382565</v>
      </c>
      <c r="L27" s="83">
        <f t="shared" si="0"/>
        <v>0.0024194937756035297</v>
      </c>
      <c r="M27" s="83">
        <f t="shared" si="3"/>
        <v>1.5148613221790272</v>
      </c>
      <c r="N27" s="84">
        <f t="shared" si="1"/>
        <v>1.705968164532235</v>
      </c>
      <c r="O27" s="85">
        <f t="shared" si="4"/>
        <v>0.04915351236325044</v>
      </c>
      <c r="P27" s="38">
        <f t="shared" si="7"/>
        <v>35769.1849957182</v>
      </c>
      <c r="Q27" s="99" t="s">
        <v>79</v>
      </c>
      <c r="R27" s="99" t="s">
        <v>79</v>
      </c>
      <c r="S27" s="99" t="s">
        <v>79</v>
      </c>
      <c r="T27" s="17">
        <f t="shared" si="2"/>
        <v>35769.1849957182</v>
      </c>
    </row>
    <row r="28" spans="1:20" ht="12.75">
      <c r="A28" s="22" t="s">
        <v>36</v>
      </c>
      <c r="B28" s="359"/>
      <c r="C28" s="48">
        <v>28712</v>
      </c>
      <c r="D28" s="23">
        <f>Лист1!Q62</f>
        <v>2476898</v>
      </c>
      <c r="E28" s="23">
        <f>Лист1!P62</f>
        <v>58759</v>
      </c>
      <c r="F28" s="24">
        <f>Лист1!Q63</f>
        <v>495540</v>
      </c>
      <c r="G28" s="24">
        <f>Лист1!P63</f>
        <v>51668</v>
      </c>
      <c r="H28" s="25">
        <f>Лист1!L62</f>
        <v>715001</v>
      </c>
      <c r="I28" s="25">
        <f>Лист1!K62</f>
        <v>92728653</v>
      </c>
      <c r="J28" s="25">
        <f>Лист1!L63</f>
        <v>836403</v>
      </c>
      <c r="K28" s="25">
        <f>Лист1!K63</f>
        <v>91131700</v>
      </c>
      <c r="L28" s="83">
        <f t="shared" si="0"/>
        <v>3.4641881619745987</v>
      </c>
      <c r="M28" s="83">
        <f t="shared" si="3"/>
        <v>0.0006336660578904344</v>
      </c>
      <c r="N28" s="84">
        <f t="shared" si="1"/>
        <v>0.5924655937389034</v>
      </c>
      <c r="O28" s="85">
        <f t="shared" si="4"/>
        <v>0.0005669596858173391</v>
      </c>
      <c r="P28" s="38">
        <f t="shared" si="7"/>
        <v>406.5233980688109</v>
      </c>
      <c r="Q28" s="38">
        <f t="shared" si="8"/>
        <v>7952.147270101484</v>
      </c>
      <c r="R28" s="38">
        <f t="shared" si="5"/>
        <v>0</v>
      </c>
      <c r="S28" s="20">
        <f t="shared" si="6"/>
        <v>25.995045784702135</v>
      </c>
      <c r="T28" s="17">
        <f t="shared" si="2"/>
        <v>8358.670668170294</v>
      </c>
    </row>
    <row r="29" spans="1:20" ht="12.75">
      <c r="A29" s="15" t="s">
        <v>29</v>
      </c>
      <c r="B29" s="359"/>
      <c r="C29" s="48">
        <v>29733</v>
      </c>
      <c r="D29" s="16">
        <f>Лист1!Q48</f>
        <v>4193985</v>
      </c>
      <c r="E29" s="16">
        <f>Лист1!P48</f>
        <v>480000</v>
      </c>
      <c r="F29" s="17">
        <f>Лист1!Q49</f>
        <v>2647627</v>
      </c>
      <c r="G29" s="17">
        <f>Лист1!P49</f>
        <v>361040</v>
      </c>
      <c r="H29" s="18">
        <f>Лист1!L48</f>
        <v>1039981</v>
      </c>
      <c r="I29" s="18">
        <f>Лист1!K48</f>
        <v>147411154</v>
      </c>
      <c r="J29" s="18">
        <f>Лист1!L49</f>
        <v>1750400</v>
      </c>
      <c r="K29" s="18">
        <f>Лист1!K49</f>
        <v>146826192</v>
      </c>
      <c r="L29" s="98">
        <f t="shared" si="0"/>
        <v>4.032751559884267</v>
      </c>
      <c r="M29" s="83">
        <f t="shared" si="3"/>
        <v>0.003256198645592314</v>
      </c>
      <c r="N29" s="84">
        <f t="shared" si="1"/>
        <v>1.5125839808043875</v>
      </c>
      <c r="O29" s="85">
        <f t="shared" si="4"/>
        <v>0.002458961817929597</v>
      </c>
      <c r="P29" s="38">
        <f t="shared" si="7"/>
        <v>0</v>
      </c>
      <c r="Q29" s="38">
        <f t="shared" si="8"/>
        <v>12254.973491543065</v>
      </c>
      <c r="R29" s="99" t="s">
        <v>79</v>
      </c>
      <c r="S29" s="20">
        <f t="shared" si="6"/>
        <v>-235.91373469726273</v>
      </c>
      <c r="T29" s="17">
        <f t="shared" si="2"/>
        <v>12254.973491543065</v>
      </c>
    </row>
    <row r="30" spans="1:20" ht="12.75">
      <c r="A30" s="22" t="s">
        <v>33</v>
      </c>
      <c r="B30" s="359"/>
      <c r="C30" s="48">
        <v>52501</v>
      </c>
      <c r="D30" s="23">
        <f>Лист1!Q56</f>
        <v>6189052</v>
      </c>
      <c r="E30" s="23">
        <f>Лист1!P56</f>
        <v>539761</v>
      </c>
      <c r="F30" s="24">
        <f>Лист1!Q57</f>
        <v>3064189</v>
      </c>
      <c r="G30" s="24">
        <f>Лист1!P57</f>
        <v>82289</v>
      </c>
      <c r="H30" s="25">
        <f>Лист1!L56</f>
        <v>2317222</v>
      </c>
      <c r="I30" s="25">
        <f>Лист1!K54</f>
        <v>143445483</v>
      </c>
      <c r="J30" s="25">
        <f>Лист1!L57</f>
        <v>2978282</v>
      </c>
      <c r="K30" s="25">
        <f>Лист1!K57</f>
        <v>117048629</v>
      </c>
      <c r="L30" s="83">
        <f t="shared" si="0"/>
        <v>2.670892991694365</v>
      </c>
      <c r="M30" s="83">
        <f t="shared" si="3"/>
        <v>0.0037628302314684945</v>
      </c>
      <c r="N30" s="84">
        <f t="shared" si="1"/>
        <v>1.028844481482949</v>
      </c>
      <c r="O30" s="85">
        <f t="shared" si="4"/>
        <v>0.0007030325831496924</v>
      </c>
      <c r="P30" s="38">
        <f t="shared" si="7"/>
        <v>3155.7286350981412</v>
      </c>
      <c r="Q30" s="38">
        <f t="shared" si="8"/>
        <v>11852.614840749415</v>
      </c>
      <c r="R30" s="99" t="s">
        <v>79</v>
      </c>
      <c r="S30" s="20">
        <f t="shared" si="6"/>
        <v>17.460626453403314</v>
      </c>
      <c r="T30" s="17">
        <f t="shared" si="2"/>
        <v>15008.343475847556</v>
      </c>
    </row>
    <row r="31" spans="1:20" ht="12.75">
      <c r="A31" s="22" t="s">
        <v>40</v>
      </c>
      <c r="B31" s="361"/>
      <c r="C31" s="48">
        <v>26017</v>
      </c>
      <c r="D31" s="23">
        <f>Лист1!Q70</f>
        <v>10801687</v>
      </c>
      <c r="E31" s="23">
        <f>Лист1!P70</f>
        <v>1062434</v>
      </c>
      <c r="F31" s="24">
        <f>Лист1!Q71</f>
        <v>6439498</v>
      </c>
      <c r="G31" s="24">
        <f>Лист1!P71</f>
        <v>2084667</v>
      </c>
      <c r="H31" s="45">
        <f>Лист1!L70</f>
        <v>480037</v>
      </c>
      <c r="I31" s="45">
        <f>Лист1!K70</f>
        <v>51795127</v>
      </c>
      <c r="J31" s="45">
        <f>Лист1!L71</f>
        <v>480217</v>
      </c>
      <c r="K31" s="25">
        <f>Лист1!K71</f>
        <v>49454096</v>
      </c>
      <c r="L31" s="83">
        <f t="shared" si="0"/>
        <v>22.50178007111952</v>
      </c>
      <c r="M31" s="83">
        <f t="shared" si="3"/>
        <v>0.02051223853549003</v>
      </c>
      <c r="N31" s="84">
        <f t="shared" si="1"/>
        <v>13.409558595385002</v>
      </c>
      <c r="O31" s="85">
        <f t="shared" si="4"/>
        <v>0.042153576116324115</v>
      </c>
      <c r="P31" s="99" t="s">
        <v>79</v>
      </c>
      <c r="Q31" s="38">
        <f t="shared" si="8"/>
        <v>3412.190554774915</v>
      </c>
      <c r="R31" s="99" t="s">
        <v>79</v>
      </c>
      <c r="S31" s="99" t="s">
        <v>79</v>
      </c>
      <c r="T31" s="17">
        <f t="shared" si="2"/>
        <v>3412.190554774915</v>
      </c>
    </row>
    <row r="32" spans="1:20" ht="12.75">
      <c r="A32" s="26"/>
      <c r="B32" s="40"/>
      <c r="C32" s="50"/>
      <c r="D32" s="87">
        <f>SUM(D22:D31)</f>
        <v>37802011</v>
      </c>
      <c r="E32" s="28"/>
      <c r="F32" s="29"/>
      <c r="G32" s="29"/>
      <c r="H32" s="88">
        <f>SUM(H22:H31)</f>
        <v>29309367</v>
      </c>
      <c r="I32" s="30"/>
      <c r="J32" s="30"/>
      <c r="K32" s="30"/>
      <c r="L32" s="90">
        <f t="shared" si="0"/>
        <v>1.2897586972792692</v>
      </c>
      <c r="M32" s="83"/>
      <c r="N32" s="84"/>
      <c r="O32" s="85"/>
      <c r="P32" s="31"/>
      <c r="Q32" s="31"/>
      <c r="R32" s="33"/>
      <c r="S32" s="6"/>
      <c r="T32" s="17">
        <f t="shared" si="2"/>
        <v>0</v>
      </c>
    </row>
    <row r="33" spans="1:20" ht="12.75">
      <c r="A33" s="34" t="s">
        <v>18</v>
      </c>
      <c r="B33" s="359" t="s">
        <v>80</v>
      </c>
      <c r="C33" s="48">
        <v>12398</v>
      </c>
      <c r="D33" s="35">
        <f>Лист1!Q26</f>
        <v>390444</v>
      </c>
      <c r="E33" s="35">
        <f>Лист1!P26</f>
        <v>202295</v>
      </c>
      <c r="F33" s="36">
        <f>Лист1!Q27</f>
        <v>100622</v>
      </c>
      <c r="G33" s="36">
        <f>Лист1!P27</f>
        <v>105839</v>
      </c>
      <c r="H33" s="46">
        <f>Лист1!L26</f>
        <v>198901</v>
      </c>
      <c r="I33" s="46">
        <f>Лист1!K26</f>
        <v>79865399</v>
      </c>
      <c r="J33" s="46">
        <f>Лист1!L27</f>
        <v>11006526</v>
      </c>
      <c r="K33" s="37">
        <f>Лист1!K27</f>
        <v>191870826</v>
      </c>
      <c r="L33" s="83">
        <f t="shared" si="0"/>
        <v>1.963006721937044</v>
      </c>
      <c r="M33" s="83">
        <f t="shared" si="3"/>
        <v>0.002532949218722366</v>
      </c>
      <c r="N33" s="84">
        <f t="shared" si="1"/>
        <v>0.00914203082789247</v>
      </c>
      <c r="O33" s="85">
        <f t="shared" si="4"/>
        <v>0.000551615908507112</v>
      </c>
      <c r="P33" s="38">
        <f>($L$42-L33)*H33/1000</f>
        <v>1028.566905944475</v>
      </c>
      <c r="Q33" s="38">
        <f>($M$40-M33)*I33/1000</f>
        <v>4624.206476313143</v>
      </c>
      <c r="R33" s="38">
        <f>($N$42-N33)*J33/1000</f>
        <v>61665.09255079264</v>
      </c>
      <c r="S33" s="20">
        <f>($O$40-O33)*K33/1000</f>
        <v>5750.811337758241</v>
      </c>
      <c r="T33" s="17">
        <f t="shared" si="2"/>
        <v>5652.773382257617</v>
      </c>
    </row>
    <row r="34" spans="1:20" ht="12.75">
      <c r="A34" s="15" t="s">
        <v>57</v>
      </c>
      <c r="B34" s="360"/>
      <c r="C34" s="48">
        <v>20922</v>
      </c>
      <c r="D34" s="16">
        <f>Лист1!Q32</f>
        <v>1103825</v>
      </c>
      <c r="E34" s="16">
        <f>Лист1!P32</f>
        <v>817731</v>
      </c>
      <c r="F34" s="17">
        <f>Лист1!Q33</f>
        <v>733450</v>
      </c>
      <c r="G34" s="17">
        <f>Лист1!P33</f>
        <v>582362</v>
      </c>
      <c r="H34" s="44">
        <f>Лист1!L32</f>
        <v>243610</v>
      </c>
      <c r="I34" s="44">
        <f>Лист1!K32</f>
        <v>304978100</v>
      </c>
      <c r="J34" s="44">
        <f>Лист1!L33</f>
        <v>260892</v>
      </c>
      <c r="K34" s="18">
        <f>Лист1!K33</f>
        <v>328077929</v>
      </c>
      <c r="L34" s="83">
        <f t="shared" si="0"/>
        <v>4.531115307253397</v>
      </c>
      <c r="M34" s="83">
        <f t="shared" si="3"/>
        <v>0.0026812777704366313</v>
      </c>
      <c r="N34" s="84">
        <f t="shared" si="1"/>
        <v>2.811316560109164</v>
      </c>
      <c r="O34" s="85">
        <f t="shared" si="4"/>
        <v>0.001775072165857277</v>
      </c>
      <c r="P34" s="38">
        <f aca="true" t="shared" si="9" ref="P34:P46">($L$42-L34)*H34/1000</f>
        <v>634.1514143827005</v>
      </c>
      <c r="Q34" s="38">
        <f aca="true" t="shared" si="10" ref="Q34:Q46">($M$40-M34)*I34/1000</f>
        <v>17612.9945497863</v>
      </c>
      <c r="R34" s="38">
        <f aca="true" t="shared" si="11" ref="R34:R45">($N$42-N34)*J34/1000</f>
        <v>730.6069422709212</v>
      </c>
      <c r="S34" s="20">
        <f aca="true" t="shared" si="12" ref="S34:S46">($O$40-O34)*K34/1000</f>
        <v>9431.86347526258</v>
      </c>
      <c r="T34" s="17">
        <f t="shared" si="2"/>
        <v>18247.145964169</v>
      </c>
    </row>
    <row r="35" spans="1:20" ht="12.75" customHeight="1">
      <c r="A35" s="15" t="s">
        <v>58</v>
      </c>
      <c r="B35" s="360"/>
      <c r="C35" s="48">
        <v>19263</v>
      </c>
      <c r="D35" s="16">
        <f>Лист1!Q34</f>
        <v>2321055</v>
      </c>
      <c r="E35" s="16">
        <f>Лист1!P34</f>
        <v>1818097</v>
      </c>
      <c r="F35" s="17">
        <f>Лист1!Q35</f>
        <v>1134589</v>
      </c>
      <c r="G35" s="17">
        <f>Лист1!P35</f>
        <v>159134</v>
      </c>
      <c r="H35" s="44">
        <f>Лист1!L34</f>
        <v>674000</v>
      </c>
      <c r="I35" s="44">
        <f>Лист1!K34</f>
        <v>389431500</v>
      </c>
      <c r="J35" s="44">
        <f>Лист1!L35</f>
        <v>501800</v>
      </c>
      <c r="K35" s="18">
        <f>Лист1!G35-Лист1!L35</f>
        <v>50600</v>
      </c>
      <c r="L35" s="83">
        <f t="shared" si="0"/>
        <v>3.4437017804154304</v>
      </c>
      <c r="M35" s="83">
        <f t="shared" si="3"/>
        <v>0.004668592550936429</v>
      </c>
      <c r="N35" s="84">
        <f t="shared" si="1"/>
        <v>2.261038262255879</v>
      </c>
      <c r="O35" s="85">
        <f t="shared" si="4"/>
        <v>3.144940711462451</v>
      </c>
      <c r="P35" s="38">
        <f t="shared" si="9"/>
        <v>2487.4344022985106</v>
      </c>
      <c r="Q35" s="38">
        <f t="shared" si="10"/>
        <v>21716.396450321856</v>
      </c>
      <c r="R35" s="38">
        <f t="shared" si="11"/>
        <v>1681.379958923801</v>
      </c>
      <c r="S35" s="99" t="s">
        <v>79</v>
      </c>
      <c r="T35" s="17">
        <f t="shared" si="2"/>
        <v>24203.830852620365</v>
      </c>
    </row>
    <row r="36" spans="1:20" ht="12.75">
      <c r="A36" s="15" t="s">
        <v>26</v>
      </c>
      <c r="B36" s="360"/>
      <c r="C36" s="48">
        <v>14334</v>
      </c>
      <c r="D36" s="16">
        <f>Лист1!Q42</f>
        <v>10011638</v>
      </c>
      <c r="E36" s="16">
        <f>Лист1!P42</f>
        <v>11285</v>
      </c>
      <c r="F36" s="17">
        <f>Лист1!Q43</f>
        <v>9630800</v>
      </c>
      <c r="G36" s="17">
        <f>Лист1!P43</f>
        <v>0</v>
      </c>
      <c r="H36" s="18">
        <f>Лист1!L42</f>
        <v>173580</v>
      </c>
      <c r="I36" s="18">
        <f>Лист1!K42</f>
        <v>6807990</v>
      </c>
      <c r="J36" s="18">
        <f>Лист1!L43</f>
        <v>191119</v>
      </c>
      <c r="K36" s="18">
        <f>Лист1!K43</f>
        <v>6807990</v>
      </c>
      <c r="L36" s="83">
        <f t="shared" si="0"/>
        <v>57.67737066482314</v>
      </c>
      <c r="M36" s="83">
        <f t="shared" si="3"/>
        <v>0.0016576111304511317</v>
      </c>
      <c r="N36" s="84">
        <f t="shared" si="1"/>
        <v>50.39164081017586</v>
      </c>
      <c r="O36" s="85">
        <f t="shared" si="4"/>
        <v>0</v>
      </c>
      <c r="P36" s="99" t="s">
        <v>79</v>
      </c>
      <c r="Q36" s="38">
        <f t="shared" si="10"/>
        <v>400.1419032290831</v>
      </c>
      <c r="R36" s="99" t="s">
        <v>79</v>
      </c>
      <c r="S36" s="20">
        <f t="shared" si="12"/>
        <v>207.80656321849955</v>
      </c>
      <c r="T36" s="17">
        <f t="shared" si="2"/>
        <v>400.1419032290831</v>
      </c>
    </row>
    <row r="37" spans="1:20" ht="12.75">
      <c r="A37" s="15" t="s">
        <v>28</v>
      </c>
      <c r="B37" s="360"/>
      <c r="C37" s="48">
        <v>15629</v>
      </c>
      <c r="D37" s="16">
        <f>Лист1!Q46</f>
        <v>1336116</v>
      </c>
      <c r="E37" s="16">
        <f>Лист1!P46</f>
        <v>8884</v>
      </c>
      <c r="F37" s="17">
        <f>Лист1!Q47</f>
        <v>557122</v>
      </c>
      <c r="G37" s="17">
        <f>Лист1!P47</f>
        <v>0</v>
      </c>
      <c r="H37" s="44">
        <f>Лист1!L46</f>
        <v>253838</v>
      </c>
      <c r="I37" s="44">
        <f>Лист1!K46</f>
        <v>8023</v>
      </c>
      <c r="J37" s="44">
        <f>Лист1!L47</f>
        <v>422684</v>
      </c>
      <c r="K37" s="18">
        <f>Лист1!K47</f>
        <v>6320</v>
      </c>
      <c r="L37" s="83">
        <f t="shared" si="0"/>
        <v>5.263656347749352</v>
      </c>
      <c r="M37" s="83">
        <f t="shared" si="3"/>
        <v>1.1073164651626575</v>
      </c>
      <c r="N37" s="84">
        <f t="shared" si="1"/>
        <v>1.3180579345326533</v>
      </c>
      <c r="O37" s="85">
        <f t="shared" si="4"/>
        <v>0</v>
      </c>
      <c r="P37" s="38">
        <f t="shared" si="9"/>
        <v>474.82959777544403</v>
      </c>
      <c r="Q37" s="99" t="s">
        <v>79</v>
      </c>
      <c r="R37" s="38">
        <f t="shared" si="11"/>
        <v>1814.8688797005736</v>
      </c>
      <c r="S37" s="20">
        <f t="shared" si="12"/>
        <v>0.19291119398543727</v>
      </c>
      <c r="T37" s="17">
        <f t="shared" si="2"/>
        <v>474.82959777544403</v>
      </c>
    </row>
    <row r="38" spans="1:20" ht="12.75">
      <c r="A38" s="15" t="s">
        <v>31</v>
      </c>
      <c r="B38" s="360"/>
      <c r="C38" s="48">
        <v>26054</v>
      </c>
      <c r="D38" s="16">
        <f>Лист1!Q52</f>
        <v>1551207</v>
      </c>
      <c r="E38" s="16">
        <f>Лист1!P52</f>
        <v>282102</v>
      </c>
      <c r="F38" s="17">
        <f>Лист1!Q53</f>
        <v>724982</v>
      </c>
      <c r="G38" s="17">
        <f>Лист1!P53</f>
        <v>8184</v>
      </c>
      <c r="H38" s="18">
        <f>Лист1!L52</f>
        <v>334373</v>
      </c>
      <c r="I38" s="18">
        <f>Лист1!K52</f>
        <v>4543144</v>
      </c>
      <c r="J38" s="18">
        <f>Лист1!L53</f>
        <v>167836</v>
      </c>
      <c r="K38" s="18">
        <f>Лист1!K53</f>
        <v>4846398</v>
      </c>
      <c r="L38" s="83">
        <f t="shared" si="0"/>
        <v>4.639151486513565</v>
      </c>
      <c r="M38" s="83">
        <f t="shared" si="3"/>
        <v>0.06209400362392211</v>
      </c>
      <c r="N38" s="84">
        <f t="shared" si="1"/>
        <v>4.31958578612455</v>
      </c>
      <c r="O38" s="85">
        <f t="shared" si="4"/>
        <v>0.001688676827615066</v>
      </c>
      <c r="P38" s="38">
        <f t="shared" si="9"/>
        <v>834.2960072919284</v>
      </c>
      <c r="Q38" s="99" t="s">
        <v>79</v>
      </c>
      <c r="R38" s="38">
        <f t="shared" si="11"/>
        <v>216.86926781573348</v>
      </c>
      <c r="S38" s="20">
        <f t="shared" si="12"/>
        <v>139.74707985896126</v>
      </c>
      <c r="T38" s="17">
        <f t="shared" si="2"/>
        <v>834.2960072919284</v>
      </c>
    </row>
    <row r="39" spans="1:20" ht="12.75">
      <c r="A39" s="15" t="s">
        <v>27</v>
      </c>
      <c r="B39" s="360"/>
      <c r="C39" s="48">
        <v>11659</v>
      </c>
      <c r="D39" s="16">
        <f>Лист1!Q44</f>
        <v>2292943</v>
      </c>
      <c r="E39" s="16">
        <f>Лист1!P44</f>
        <v>13857</v>
      </c>
      <c r="F39" s="17">
        <f>Лист1!Q45</f>
        <v>842200</v>
      </c>
      <c r="G39" s="17">
        <f>Лист1!P45</f>
        <v>0</v>
      </c>
      <c r="H39" s="44">
        <f>Лист1!L44</f>
        <v>669100</v>
      </c>
      <c r="I39" s="44">
        <f>Лист1!K44</f>
        <v>6511000</v>
      </c>
      <c r="J39" s="44">
        <f>Лист1!L45</f>
        <v>658700</v>
      </c>
      <c r="K39" s="18">
        <f>Лист1!K45</f>
        <v>6211000</v>
      </c>
      <c r="L39" s="83">
        <f t="shared" si="0"/>
        <v>3.426906292034076</v>
      </c>
      <c r="M39" s="83">
        <f t="shared" si="3"/>
        <v>0.0021282445092919676</v>
      </c>
      <c r="N39" s="84">
        <f t="shared" si="1"/>
        <v>1.2785790192804007</v>
      </c>
      <c r="O39" s="85">
        <f t="shared" si="4"/>
        <v>0</v>
      </c>
      <c r="P39" s="38">
        <f t="shared" si="9"/>
        <v>2480.588541658655</v>
      </c>
      <c r="Q39" s="38">
        <f t="shared" si="10"/>
        <v>379.62192210836974</v>
      </c>
      <c r="R39" s="38">
        <f t="shared" si="11"/>
        <v>2854.250285458564</v>
      </c>
      <c r="S39" s="20">
        <f t="shared" si="12"/>
        <v>189.58408636765046</v>
      </c>
      <c r="T39" s="17">
        <f t="shared" si="2"/>
        <v>2860.2104637670245</v>
      </c>
    </row>
    <row r="40" spans="1:20" ht="12.75">
      <c r="A40" s="15" t="s">
        <v>35</v>
      </c>
      <c r="B40" s="360"/>
      <c r="C40" s="48">
        <v>17797</v>
      </c>
      <c r="D40" s="16">
        <f>Лист1!Q60</f>
        <v>1641314</v>
      </c>
      <c r="E40" s="16">
        <f>Лист1!P60</f>
        <v>10471044</v>
      </c>
      <c r="F40" s="17">
        <f>Лист1!Q61</f>
        <v>884987</v>
      </c>
      <c r="G40" s="17">
        <f>Лист1!P61</f>
        <v>5062697</v>
      </c>
      <c r="H40" s="18">
        <f>Лист1!L60</f>
        <v>5277406</v>
      </c>
      <c r="I40" s="18">
        <f>Лист1!K60</f>
        <v>173267140</v>
      </c>
      <c r="J40" s="18">
        <f>Лист1!L61</f>
        <v>5277406</v>
      </c>
      <c r="K40" s="18">
        <f>Лист1!K61</f>
        <v>165859971</v>
      </c>
      <c r="L40" s="83">
        <f t="shared" si="0"/>
        <v>0.31100771856476456</v>
      </c>
      <c r="M40" s="98">
        <f t="shared" si="3"/>
        <v>0.06043294764373672</v>
      </c>
      <c r="N40" s="84">
        <f t="shared" si="1"/>
        <v>0.16769356005583047</v>
      </c>
      <c r="O40" s="85">
        <f t="shared" si="4"/>
        <v>0.030523923098961594</v>
      </c>
      <c r="P40" s="38">
        <f t="shared" si="9"/>
        <v>36009.058140395515</v>
      </c>
      <c r="Q40" s="38">
        <f t="shared" si="10"/>
        <v>0</v>
      </c>
      <c r="R40" s="38">
        <f t="shared" si="11"/>
        <v>28730.420492304147</v>
      </c>
      <c r="S40" s="20">
        <f t="shared" si="12"/>
        <v>0</v>
      </c>
      <c r="T40" s="17">
        <f t="shared" si="2"/>
        <v>36009.058140395515</v>
      </c>
    </row>
    <row r="41" spans="1:20" ht="12.75">
      <c r="A41" s="15" t="s">
        <v>37</v>
      </c>
      <c r="B41" s="360"/>
      <c r="C41" s="48">
        <v>23939</v>
      </c>
      <c r="D41" s="16">
        <f>Лист1!Q64</f>
        <v>945500</v>
      </c>
      <c r="E41" s="16">
        <f>Лист1!P64</f>
        <v>772100</v>
      </c>
      <c r="F41" s="17">
        <f>Лист1!Q65</f>
        <v>451600</v>
      </c>
      <c r="G41" s="17">
        <f>Лист1!P65</f>
        <v>285800</v>
      </c>
      <c r="H41" s="18">
        <f>Лист1!L64</f>
        <v>415948</v>
      </c>
      <c r="I41" s="18">
        <f>Лист1!K64</f>
        <v>192324452</v>
      </c>
      <c r="J41" s="18">
        <f>Лист1!L65</f>
        <v>307463</v>
      </c>
      <c r="K41" s="18">
        <f>Лист1!K65</f>
        <v>180197637</v>
      </c>
      <c r="L41" s="83">
        <f t="shared" si="0"/>
        <v>2.273120678546357</v>
      </c>
      <c r="M41" s="83">
        <f t="shared" si="3"/>
        <v>0.0040145701286074635</v>
      </c>
      <c r="N41" s="84">
        <f t="shared" si="1"/>
        <v>1.4687946191899512</v>
      </c>
      <c r="O41" s="85">
        <f t="shared" si="4"/>
        <v>0.0015860363363144434</v>
      </c>
      <c r="P41" s="38">
        <f t="shared" si="9"/>
        <v>2021.9800443727902</v>
      </c>
      <c r="Q41" s="38">
        <f t="shared" si="10"/>
        <v>10850.633538326354</v>
      </c>
      <c r="R41" s="38">
        <f t="shared" si="11"/>
        <v>1273.801084132301</v>
      </c>
      <c r="S41" s="20">
        <f t="shared" si="12"/>
        <v>5214.5388144025965</v>
      </c>
      <c r="T41" s="17">
        <f t="shared" si="2"/>
        <v>12872.613582699145</v>
      </c>
    </row>
    <row r="42" spans="1:20" ht="12.75">
      <c r="A42" s="15" t="s">
        <v>41</v>
      </c>
      <c r="B42" s="360"/>
      <c r="C42" s="48">
        <v>15181</v>
      </c>
      <c r="D42" s="16">
        <f>Лист1!Q72</f>
        <v>482340</v>
      </c>
      <c r="E42" s="16">
        <f>Лист1!P72</f>
        <v>424000</v>
      </c>
      <c r="F42" s="17">
        <f>Лист1!Q73</f>
        <v>413815</v>
      </c>
      <c r="G42" s="17">
        <f>Лист1!P73</f>
        <v>0</v>
      </c>
      <c r="H42" s="18">
        <f>Лист1!L72</f>
        <v>67609</v>
      </c>
      <c r="I42" s="18">
        <f>Лист1!K72</f>
        <v>8860091</v>
      </c>
      <c r="J42" s="18">
        <f>Лист1!L73</f>
        <v>73741</v>
      </c>
      <c r="K42" s="18">
        <f>Лист1!K73</f>
        <v>600000</v>
      </c>
      <c r="L42" s="98">
        <f t="shared" si="0"/>
        <v>7.1342572734399265</v>
      </c>
      <c r="M42" s="83">
        <f t="shared" si="3"/>
        <v>0.04785503896066079</v>
      </c>
      <c r="N42" s="84">
        <f t="shared" si="1"/>
        <v>5.611735669437627</v>
      </c>
      <c r="O42" s="85">
        <f t="shared" si="4"/>
        <v>0</v>
      </c>
      <c r="P42" s="38">
        <f t="shared" si="9"/>
        <v>0</v>
      </c>
      <c r="Q42" s="38">
        <f t="shared" si="10"/>
        <v>111.44141552174288</v>
      </c>
      <c r="R42" s="38">
        <f t="shared" si="11"/>
        <v>0</v>
      </c>
      <c r="S42" s="20">
        <f t="shared" si="12"/>
        <v>18.314353859376954</v>
      </c>
      <c r="T42" s="17">
        <f t="shared" si="2"/>
        <v>111.44141552174288</v>
      </c>
    </row>
    <row r="43" spans="1:20" ht="12.75">
      <c r="A43" s="15" t="s">
        <v>42</v>
      </c>
      <c r="B43" s="360"/>
      <c r="C43" s="48">
        <v>17938</v>
      </c>
      <c r="D43" s="16">
        <f>Лист1!Q72</f>
        <v>482340</v>
      </c>
      <c r="E43" s="16">
        <f>Лист1!P74</f>
        <v>81840</v>
      </c>
      <c r="F43" s="17">
        <f>Лист1!Q75</f>
        <v>141663</v>
      </c>
      <c r="G43" s="17">
        <f>Лист1!P75</f>
        <v>0</v>
      </c>
      <c r="H43" s="18">
        <f>Лист1!L74</f>
        <v>320787</v>
      </c>
      <c r="I43" s="18">
        <f>Лист1!K74</f>
        <v>11701000</v>
      </c>
      <c r="J43" s="18">
        <f>Лист1!L75</f>
        <v>277441</v>
      </c>
      <c r="K43" s="18">
        <f>Лист1!K75</f>
        <v>50257000</v>
      </c>
      <c r="L43" s="83">
        <f t="shared" si="0"/>
        <v>1.5036145479710836</v>
      </c>
      <c r="M43" s="83">
        <f t="shared" si="3"/>
        <v>0.006994273993675754</v>
      </c>
      <c r="N43" s="84">
        <f t="shared" si="1"/>
        <v>0.5106058585428974</v>
      </c>
      <c r="O43" s="85">
        <f t="shared" si="4"/>
        <v>0</v>
      </c>
      <c r="P43" s="38">
        <f t="shared" si="9"/>
        <v>1806.2369879749738</v>
      </c>
      <c r="Q43" s="38">
        <f t="shared" si="10"/>
        <v>625.2859203793633</v>
      </c>
      <c r="R43" s="38">
        <f t="shared" si="11"/>
        <v>1415.2625558644447</v>
      </c>
      <c r="S43" s="20">
        <f t="shared" si="12"/>
        <v>1534.0408031845127</v>
      </c>
      <c r="T43" s="17">
        <f t="shared" si="2"/>
        <v>2431.5229083543372</v>
      </c>
    </row>
    <row r="44" spans="1:20" ht="12.75">
      <c r="A44" s="15" t="s">
        <v>43</v>
      </c>
      <c r="B44" s="360"/>
      <c r="C44" s="48">
        <v>17753</v>
      </c>
      <c r="D44" s="16">
        <f>Лист1!Q76</f>
        <v>448910</v>
      </c>
      <c r="E44" s="16">
        <f>Лист1!P76</f>
        <v>18598</v>
      </c>
      <c r="F44" s="17">
        <f>Лист1!Q77</f>
        <v>379518</v>
      </c>
      <c r="G44" s="17">
        <f>Лист1!P77</f>
        <v>1091130</v>
      </c>
      <c r="H44" s="44">
        <f>Лист1!L76</f>
        <v>232056</v>
      </c>
      <c r="I44" s="44">
        <f>Лист1!K76</f>
        <v>129415</v>
      </c>
      <c r="J44" s="44">
        <f>Лист1!L77</f>
        <v>1005413</v>
      </c>
      <c r="K44" s="18">
        <f>Лист1!K77</f>
        <v>362293</v>
      </c>
      <c r="L44" s="83">
        <f t="shared" si="0"/>
        <v>1.9344899507015547</v>
      </c>
      <c r="M44" s="83">
        <f t="shared" si="3"/>
        <v>0.14370822547618128</v>
      </c>
      <c r="N44" s="84">
        <f t="shared" si="1"/>
        <v>0.3774747292903513</v>
      </c>
      <c r="O44" s="85">
        <f t="shared" si="4"/>
        <v>3.0117335968401266</v>
      </c>
      <c r="P44" s="38">
        <f t="shared" si="9"/>
        <v>1206.6372058453755</v>
      </c>
      <c r="Q44" s="99" t="s">
        <v>79</v>
      </c>
      <c r="R44" s="38">
        <f t="shared" si="11"/>
        <v>5262.593994616293</v>
      </c>
      <c r="S44" s="99" t="s">
        <v>79</v>
      </c>
      <c r="T44" s="17">
        <f t="shared" si="2"/>
        <v>1206.6372058453755</v>
      </c>
    </row>
    <row r="45" spans="1:20" ht="12.75">
      <c r="A45" s="15" t="s">
        <v>44</v>
      </c>
      <c r="B45" s="360"/>
      <c r="C45" s="48">
        <v>21937</v>
      </c>
      <c r="D45" s="16">
        <f>Лист1!Q78</f>
        <v>2095449</v>
      </c>
      <c r="E45" s="16">
        <f>Лист1!P78</f>
        <v>37545</v>
      </c>
      <c r="F45" s="17">
        <f>Лист1!Q79</f>
        <v>1603104</v>
      </c>
      <c r="G45" s="17">
        <f>Лист1!P79</f>
        <v>82748</v>
      </c>
      <c r="H45" s="44">
        <f>Лист1!L78</f>
        <v>1047089</v>
      </c>
      <c r="I45" s="44">
        <f>Лист1!K78</f>
        <v>4204533</v>
      </c>
      <c r="J45" s="44">
        <f>Лист1!L79</f>
        <v>1795089</v>
      </c>
      <c r="K45" s="18">
        <f>Лист1!K79</f>
        <v>4207533</v>
      </c>
      <c r="L45" s="83">
        <f t="shared" si="0"/>
        <v>2.0012138414213116</v>
      </c>
      <c r="M45" s="83">
        <f t="shared" si="3"/>
        <v>0.008929648072687264</v>
      </c>
      <c r="N45" s="84">
        <f t="shared" si="1"/>
        <v>0.8930498710648888</v>
      </c>
      <c r="O45" s="85">
        <f t="shared" si="4"/>
        <v>0.019666631253991353</v>
      </c>
      <c r="P45" s="38">
        <f t="shared" si="9"/>
        <v>5374.75331418894</v>
      </c>
      <c r="Q45" s="38">
        <f t="shared" si="10"/>
        <v>216.54732265536327</v>
      </c>
      <c r="R45" s="38">
        <f t="shared" si="11"/>
        <v>8470.46097111512</v>
      </c>
      <c r="S45" s="20">
        <f t="shared" si="12"/>
        <v>45.68241372834317</v>
      </c>
      <c r="T45" s="17">
        <f t="shared" si="2"/>
        <v>5591.300636844303</v>
      </c>
    </row>
    <row r="46" spans="1:20" ht="12.75">
      <c r="A46" s="15" t="s">
        <v>25</v>
      </c>
      <c r="B46" s="361"/>
      <c r="C46" s="48">
        <v>10027</v>
      </c>
      <c r="D46" s="16">
        <f>Лист1!Q40</f>
        <v>213164</v>
      </c>
      <c r="E46" s="16">
        <f>Лист1!P40</f>
        <v>1102581</v>
      </c>
      <c r="F46" s="17">
        <f>Лист1!Q41</f>
        <v>112758</v>
      </c>
      <c r="G46" s="17">
        <f>Лист1!P41</f>
        <v>50028</v>
      </c>
      <c r="H46" s="18">
        <f>Лист1!L40</f>
        <v>41717</v>
      </c>
      <c r="I46" s="18">
        <f>Лист1!K40</f>
        <v>52860362</v>
      </c>
      <c r="J46" s="18">
        <f>Лист1!L41</f>
        <v>8153</v>
      </c>
      <c r="K46" s="18">
        <f>Лист1!K41</f>
        <v>60775840</v>
      </c>
      <c r="L46" s="83">
        <f>D46/H46</f>
        <v>5.109763405805786</v>
      </c>
      <c r="M46" s="83">
        <f>E46/I46</f>
        <v>0.02085837020942081</v>
      </c>
      <c r="N46" s="84">
        <f>F46/J46</f>
        <v>13.830246535017785</v>
      </c>
      <c r="O46" s="85">
        <f>G46/K46</f>
        <v>0.0008231560435857406</v>
      </c>
      <c r="P46" s="38">
        <f t="shared" si="9"/>
        <v>84.45581067609344</v>
      </c>
      <c r="Q46" s="38">
        <f t="shared" si="10"/>
        <v>2091.92648917497</v>
      </c>
      <c r="R46" s="99" t="s">
        <v>79</v>
      </c>
      <c r="S46" s="20">
        <f t="shared" si="12"/>
        <v>1805.089066434794</v>
      </c>
      <c r="T46" s="17">
        <f t="shared" si="2"/>
        <v>2176.382299851063</v>
      </c>
    </row>
    <row r="47" spans="1:20" ht="12.75">
      <c r="A47" s="91"/>
      <c r="B47" s="53"/>
      <c r="C47" s="48"/>
      <c r="D47" s="42">
        <f>SUM(D33:D46)</f>
        <v>25316245</v>
      </c>
      <c r="E47" s="16"/>
      <c r="F47" s="17"/>
      <c r="G47" s="17"/>
      <c r="H47" s="92">
        <f>SUM(H33:H46)</f>
        <v>9950014</v>
      </c>
      <c r="I47" s="18"/>
      <c r="J47" s="18"/>
      <c r="K47" s="18"/>
      <c r="L47" s="90">
        <f>D47/H47</f>
        <v>2.5443426511761693</v>
      </c>
      <c r="M47" s="83"/>
      <c r="N47" s="84"/>
      <c r="O47" s="85"/>
      <c r="P47" s="38"/>
      <c r="Q47" s="38"/>
      <c r="R47" s="80"/>
      <c r="S47" s="20"/>
      <c r="T47" s="17"/>
    </row>
    <row r="48" spans="2:20" ht="12.75">
      <c r="B48" s="41" t="s">
        <v>81</v>
      </c>
      <c r="C48" s="42">
        <f>SUM(C6:C46)</f>
        <v>3178577</v>
      </c>
      <c r="D48" s="42">
        <f>SUM(D6:D46)</f>
        <v>3817998728.96</v>
      </c>
      <c r="E48" s="42"/>
      <c r="F48" s="42">
        <f>SUM(F6:F46)</f>
        <v>897817073.8</v>
      </c>
      <c r="G48" s="42"/>
      <c r="H48" s="6"/>
      <c r="I48" s="6"/>
      <c r="J48" s="6"/>
      <c r="K48" s="6"/>
      <c r="L48" s="6"/>
      <c r="M48" s="6"/>
      <c r="N48" s="6"/>
      <c r="O48" s="6"/>
      <c r="P48" s="43">
        <f>SUM(P6:P46)</f>
        <v>1567498.0981515318</v>
      </c>
      <c r="Q48" s="43"/>
      <c r="R48" s="43">
        <f>SUM(R6:R46)</f>
        <v>571040.3748292442</v>
      </c>
      <c r="S48" s="43"/>
      <c r="T48" s="82">
        <f>SUM(T6:T46)</f>
        <v>1726886.9393906165</v>
      </c>
    </row>
  </sheetData>
  <sheetProtection/>
  <mergeCells count="21">
    <mergeCell ref="A3:A5"/>
    <mergeCell ref="B3:B5"/>
    <mergeCell ref="B33:B46"/>
    <mergeCell ref="B6:B9"/>
    <mergeCell ref="B11:B16"/>
    <mergeCell ref="B18:B20"/>
    <mergeCell ref="B22:B31"/>
    <mergeCell ref="D3:G3"/>
    <mergeCell ref="L4:M4"/>
    <mergeCell ref="C3:C4"/>
    <mergeCell ref="L3:O3"/>
    <mergeCell ref="H4:I4"/>
    <mergeCell ref="J4:K4"/>
    <mergeCell ref="D4:E4"/>
    <mergeCell ref="F4:G4"/>
    <mergeCell ref="T3:T5"/>
    <mergeCell ref="H3:K3"/>
    <mergeCell ref="R4:S4"/>
    <mergeCell ref="P4:Q4"/>
    <mergeCell ref="P3:S3"/>
    <mergeCell ref="N4:O4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5"/>
  <sheetViews>
    <sheetView zoomScalePageLayoutView="0" workbookViewId="0" topLeftCell="A1">
      <pane xSplit="1" ySplit="6" topLeftCell="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0" sqref="M10"/>
    </sheetView>
  </sheetViews>
  <sheetFormatPr defaultColWidth="9.00390625" defaultRowHeight="12.75"/>
  <cols>
    <col min="1" max="1" width="35.375" style="63" bestFit="1" customWidth="1"/>
    <col min="2" max="18" width="18.25390625" style="63" bestFit="1" customWidth="1"/>
    <col min="19" max="16384" width="9.125" style="55" customWidth="1"/>
  </cols>
  <sheetData>
    <row r="1" spans="1:18" ht="11.25">
      <c r="A1" s="54"/>
      <c r="B1" s="54" t="s">
        <v>82</v>
      </c>
      <c r="C1" s="54" t="s">
        <v>82</v>
      </c>
      <c r="D1" s="54" t="s">
        <v>82</v>
      </c>
      <c r="E1" s="54" t="s">
        <v>82</v>
      </c>
      <c r="F1" s="54" t="s">
        <v>82</v>
      </c>
      <c r="G1" s="54" t="s">
        <v>82</v>
      </c>
      <c r="H1" s="54" t="s">
        <v>84</v>
      </c>
      <c r="I1" s="54" t="s">
        <v>84</v>
      </c>
      <c r="J1" s="54" t="s">
        <v>84</v>
      </c>
      <c r="K1" s="54" t="s">
        <v>84</v>
      </c>
      <c r="L1" s="54" t="s">
        <v>84</v>
      </c>
      <c r="M1" s="54" t="s">
        <v>61</v>
      </c>
      <c r="N1" s="54" t="s">
        <v>61</v>
      </c>
      <c r="O1" s="54" t="s">
        <v>61</v>
      </c>
      <c r="P1" s="54" t="s">
        <v>61</v>
      </c>
      <c r="Q1" s="54" t="s">
        <v>61</v>
      </c>
      <c r="R1" s="54" t="s">
        <v>61</v>
      </c>
    </row>
    <row r="2" spans="1:18" ht="59.25" customHeight="1">
      <c r="A2" s="54"/>
      <c r="B2" s="54" t="s">
        <v>83</v>
      </c>
      <c r="C2" s="54" t="s">
        <v>83</v>
      </c>
      <c r="D2" s="54" t="s">
        <v>83</v>
      </c>
      <c r="E2" s="54" t="s">
        <v>83</v>
      </c>
      <c r="F2" s="54" t="s">
        <v>83</v>
      </c>
      <c r="G2" s="54" t="s">
        <v>83</v>
      </c>
      <c r="H2" s="54" t="s">
        <v>85</v>
      </c>
      <c r="I2" s="54" t="s">
        <v>85</v>
      </c>
      <c r="J2" s="54" t="s">
        <v>85</v>
      </c>
      <c r="K2" s="54" t="s">
        <v>85</v>
      </c>
      <c r="L2" s="54" t="s">
        <v>85</v>
      </c>
      <c r="M2" s="54" t="s">
        <v>3</v>
      </c>
      <c r="N2" s="54" t="s">
        <v>3</v>
      </c>
      <c r="O2" s="54" t="s">
        <v>3</v>
      </c>
      <c r="P2" s="54" t="s">
        <v>3</v>
      </c>
      <c r="Q2" s="54" t="s">
        <v>3</v>
      </c>
      <c r="R2" s="54" t="s">
        <v>3</v>
      </c>
    </row>
    <row r="3" spans="1:18" ht="11.25">
      <c r="A3" s="54"/>
      <c r="B3" s="54" t="s">
        <v>62</v>
      </c>
      <c r="C3" s="54" t="s">
        <v>62</v>
      </c>
      <c r="D3" s="54" t="s">
        <v>63</v>
      </c>
      <c r="E3" s="54" t="s">
        <v>63</v>
      </c>
      <c r="F3" s="54" t="s">
        <v>64</v>
      </c>
      <c r="G3" s="54" t="s">
        <v>64</v>
      </c>
      <c r="H3" s="54" t="s">
        <v>62</v>
      </c>
      <c r="I3" s="54" t="s">
        <v>62</v>
      </c>
      <c r="J3" s="54" t="s">
        <v>63</v>
      </c>
      <c r="K3" s="54" t="s">
        <v>63</v>
      </c>
      <c r="L3" s="54" t="s">
        <v>64</v>
      </c>
      <c r="M3" s="54" t="s">
        <v>62</v>
      </c>
      <c r="N3" s="54" t="s">
        <v>62</v>
      </c>
      <c r="O3" s="54" t="s">
        <v>63</v>
      </c>
      <c r="P3" s="54" t="s">
        <v>63</v>
      </c>
      <c r="Q3" s="54" t="s">
        <v>64</v>
      </c>
      <c r="R3" s="54" t="s">
        <v>64</v>
      </c>
    </row>
    <row r="4" spans="1:18" ht="27" customHeight="1">
      <c r="A4" s="54"/>
      <c r="B4" s="54" t="s">
        <v>65</v>
      </c>
      <c r="C4" s="54" t="s">
        <v>65</v>
      </c>
      <c r="D4" s="54" t="s">
        <v>66</v>
      </c>
      <c r="E4" s="54" t="s">
        <v>66</v>
      </c>
      <c r="F4" s="54" t="s">
        <v>67</v>
      </c>
      <c r="G4" s="54" t="s">
        <v>67</v>
      </c>
      <c r="H4" s="54" t="s">
        <v>65</v>
      </c>
      <c r="I4" s="54" t="s">
        <v>65</v>
      </c>
      <c r="J4" s="54" t="s">
        <v>66</v>
      </c>
      <c r="K4" s="54" t="s">
        <v>66</v>
      </c>
      <c r="L4" s="54" t="s">
        <v>67</v>
      </c>
      <c r="M4" s="54" t="s">
        <v>65</v>
      </c>
      <c r="N4" s="54" t="s">
        <v>65</v>
      </c>
      <c r="O4" s="54" t="s">
        <v>66</v>
      </c>
      <c r="P4" s="54" t="s">
        <v>66</v>
      </c>
      <c r="Q4" s="54" t="s">
        <v>67</v>
      </c>
      <c r="R4" s="54" t="s">
        <v>67</v>
      </c>
    </row>
    <row r="5" spans="1:18" ht="11.25">
      <c r="A5" s="54"/>
      <c r="B5" s="54">
        <v>1</v>
      </c>
      <c r="C5" s="54">
        <v>2</v>
      </c>
      <c r="D5" s="54">
        <v>1</v>
      </c>
      <c r="E5" s="54">
        <v>2</v>
      </c>
      <c r="F5" s="54">
        <v>1</v>
      </c>
      <c r="G5" s="54">
        <v>2</v>
      </c>
      <c r="H5" s="54">
        <v>1</v>
      </c>
      <c r="I5" s="54">
        <v>2</v>
      </c>
      <c r="J5" s="54">
        <v>1</v>
      </c>
      <c r="K5" s="54">
        <v>2</v>
      </c>
      <c r="L5" s="54">
        <v>2</v>
      </c>
      <c r="M5" s="54">
        <v>1</v>
      </c>
      <c r="N5" s="54">
        <v>2</v>
      </c>
      <c r="O5" s="54">
        <v>1</v>
      </c>
      <c r="P5" s="54">
        <v>2</v>
      </c>
      <c r="Q5" s="54">
        <v>1</v>
      </c>
      <c r="R5" s="54">
        <v>2</v>
      </c>
    </row>
    <row r="6" spans="1:18" ht="58.5" customHeight="1" thickBot="1">
      <c r="A6" s="54" t="s">
        <v>46</v>
      </c>
      <c r="B6" s="56" t="s">
        <v>68</v>
      </c>
      <c r="C6" s="56" t="s">
        <v>69</v>
      </c>
      <c r="D6" s="56" t="s">
        <v>68</v>
      </c>
      <c r="E6" s="56" t="s">
        <v>69</v>
      </c>
      <c r="F6" s="56" t="s">
        <v>68</v>
      </c>
      <c r="G6" s="56" t="s">
        <v>69</v>
      </c>
      <c r="H6" s="56" t="s">
        <v>68</v>
      </c>
      <c r="I6" s="56" t="s">
        <v>69</v>
      </c>
      <c r="J6" s="56" t="s">
        <v>68</v>
      </c>
      <c r="K6" s="56" t="s">
        <v>69</v>
      </c>
      <c r="L6" s="56" t="s">
        <v>69</v>
      </c>
      <c r="M6" s="56" t="s">
        <v>68</v>
      </c>
      <c r="N6" s="56" t="s">
        <v>69</v>
      </c>
      <c r="O6" s="56" t="s">
        <v>68</v>
      </c>
      <c r="P6" s="56" t="s">
        <v>69</v>
      </c>
      <c r="Q6" s="56" t="s">
        <v>68</v>
      </c>
      <c r="R6" s="56" t="s">
        <v>69</v>
      </c>
    </row>
    <row r="7" spans="1:18" ht="11.25">
      <c r="A7" s="57" t="s">
        <v>47</v>
      </c>
      <c r="B7" s="58">
        <v>500000000</v>
      </c>
      <c r="C7" s="58">
        <v>367874326.05</v>
      </c>
      <c r="D7" s="58"/>
      <c r="E7" s="58"/>
      <c r="F7" s="58"/>
      <c r="G7" s="58"/>
      <c r="H7" s="58"/>
      <c r="I7" s="58">
        <v>188912.75</v>
      </c>
      <c r="J7" s="58"/>
      <c r="K7" s="58"/>
      <c r="L7" s="58"/>
      <c r="M7" s="58">
        <v>1165260300</v>
      </c>
      <c r="N7" s="58">
        <v>375994017.72</v>
      </c>
      <c r="O7" s="58"/>
      <c r="P7" s="58"/>
      <c r="Q7" s="58"/>
      <c r="R7" s="58"/>
    </row>
    <row r="8" spans="1:18" ht="11.25">
      <c r="A8" s="57" t="s">
        <v>48</v>
      </c>
      <c r="B8" s="54">
        <v>305913000</v>
      </c>
      <c r="C8" s="54">
        <v>144460219.59</v>
      </c>
      <c r="D8" s="54"/>
      <c r="E8" s="54"/>
      <c r="F8" s="54"/>
      <c r="G8" s="54"/>
      <c r="H8" s="54"/>
      <c r="I8" s="54">
        <v>171.5</v>
      </c>
      <c r="J8" s="54"/>
      <c r="K8" s="54"/>
      <c r="L8" s="54"/>
      <c r="M8" s="54">
        <v>930000000</v>
      </c>
      <c r="N8" s="54">
        <v>408960184.95</v>
      </c>
      <c r="O8" s="54"/>
      <c r="P8" s="54"/>
      <c r="Q8" s="54"/>
      <c r="R8" s="54"/>
    </row>
    <row r="9" spans="1:18" ht="11.25">
      <c r="A9" s="57" t="s">
        <v>49</v>
      </c>
      <c r="B9" s="54">
        <v>50860000</v>
      </c>
      <c r="C9" s="54">
        <v>25075671.24</v>
      </c>
      <c r="D9" s="54"/>
      <c r="E9" s="54"/>
      <c r="F9" s="54"/>
      <c r="G9" s="54"/>
      <c r="H9" s="54"/>
      <c r="I9" s="54"/>
      <c r="J9" s="54"/>
      <c r="K9" s="54"/>
      <c r="L9" s="54"/>
      <c r="M9" s="54">
        <v>35430000</v>
      </c>
      <c r="N9" s="54">
        <v>17068426.18</v>
      </c>
      <c r="O9" s="54"/>
      <c r="P9" s="54"/>
      <c r="Q9" s="54"/>
      <c r="R9" s="54"/>
    </row>
    <row r="10" spans="1:18" ht="11.25">
      <c r="A10" s="57" t="s">
        <v>50</v>
      </c>
      <c r="B10" s="54">
        <v>171250000</v>
      </c>
      <c r="C10" s="54">
        <v>48605333.89</v>
      </c>
      <c r="D10" s="54"/>
      <c r="E10" s="54"/>
      <c r="F10" s="54"/>
      <c r="G10" s="54"/>
      <c r="H10" s="54">
        <v>2650000</v>
      </c>
      <c r="I10" s="54">
        <v>227400.1</v>
      </c>
      <c r="J10" s="54"/>
      <c r="K10" s="54"/>
      <c r="L10" s="54"/>
      <c r="M10" s="54">
        <v>16023000</v>
      </c>
      <c r="N10" s="54">
        <v>8813217.08</v>
      </c>
      <c r="O10" s="54"/>
      <c r="P10" s="54"/>
      <c r="Q10" s="54"/>
      <c r="R10" s="54"/>
    </row>
    <row r="11" spans="1:18" ht="11.25">
      <c r="A11" s="57" t="s">
        <v>51</v>
      </c>
      <c r="B11" s="54">
        <v>2020000</v>
      </c>
      <c r="C11" s="54">
        <v>1995576.93</v>
      </c>
      <c r="D11" s="54"/>
      <c r="E11" s="54"/>
      <c r="F11" s="54"/>
      <c r="G11" s="54"/>
      <c r="H11" s="54"/>
      <c r="I11" s="54"/>
      <c r="J11" s="54"/>
      <c r="K11" s="54"/>
      <c r="L11" s="54"/>
      <c r="M11" s="78">
        <v>36542300</v>
      </c>
      <c r="N11" s="54">
        <v>3867515.2</v>
      </c>
      <c r="O11" s="54"/>
      <c r="P11" s="54"/>
      <c r="Q11" s="54"/>
      <c r="R11" s="54"/>
    </row>
    <row r="12" spans="1:18" ht="11.25">
      <c r="A12" s="57" t="s">
        <v>52</v>
      </c>
      <c r="B12" s="54">
        <v>9950000</v>
      </c>
      <c r="C12" s="54">
        <v>3897369.26</v>
      </c>
      <c r="D12" s="54"/>
      <c r="E12" s="54"/>
      <c r="F12" s="54"/>
      <c r="G12" s="54"/>
      <c r="H12" s="54">
        <v>750000</v>
      </c>
      <c r="I12" s="54">
        <v>1062.89</v>
      </c>
      <c r="J12" s="54"/>
      <c r="K12" s="54"/>
      <c r="L12" s="54"/>
      <c r="M12" s="54">
        <v>2970000</v>
      </c>
      <c r="N12" s="54">
        <v>936339.05</v>
      </c>
      <c r="O12" s="54"/>
      <c r="P12" s="54"/>
      <c r="Q12" s="54"/>
      <c r="R12" s="54"/>
    </row>
    <row r="13" spans="1:18" ht="11.25">
      <c r="A13" s="57" t="s">
        <v>53</v>
      </c>
      <c r="B13" s="54">
        <v>2750000</v>
      </c>
      <c r="C13" s="54">
        <v>1991621.06</v>
      </c>
      <c r="D13" s="54"/>
      <c r="E13" s="54"/>
      <c r="F13" s="54"/>
      <c r="G13" s="54"/>
      <c r="H13" s="54"/>
      <c r="I13" s="54">
        <v>281.2</v>
      </c>
      <c r="J13" s="54"/>
      <c r="K13" s="54"/>
      <c r="L13" s="54"/>
      <c r="M13" s="54">
        <v>21390000</v>
      </c>
      <c r="N13" s="54">
        <v>12018343.73</v>
      </c>
      <c r="O13" s="54"/>
      <c r="P13" s="54"/>
      <c r="Q13" s="54"/>
      <c r="R13" s="54"/>
    </row>
    <row r="14" spans="1:18" ht="11.25">
      <c r="A14" s="57" t="s">
        <v>54</v>
      </c>
      <c r="B14" s="54">
        <v>1550000</v>
      </c>
      <c r="C14" s="54">
        <v>1015392.04</v>
      </c>
      <c r="D14" s="54"/>
      <c r="E14" s="54"/>
      <c r="F14" s="54"/>
      <c r="G14" s="54"/>
      <c r="H14" s="54"/>
      <c r="I14" s="54"/>
      <c r="J14" s="54"/>
      <c r="K14" s="54"/>
      <c r="L14" s="54"/>
      <c r="M14" s="54">
        <v>6350000</v>
      </c>
      <c r="N14" s="54">
        <v>3373818.53</v>
      </c>
      <c r="O14" s="54"/>
      <c r="P14" s="54"/>
      <c r="Q14" s="54"/>
      <c r="R14" s="54"/>
    </row>
    <row r="15" spans="1:18" ht="11.25">
      <c r="A15" s="57" t="s">
        <v>55</v>
      </c>
      <c r="B15" s="54">
        <v>3300000</v>
      </c>
      <c r="C15" s="54">
        <v>2874959.14</v>
      </c>
      <c r="D15" s="54"/>
      <c r="E15" s="54"/>
      <c r="F15" s="54"/>
      <c r="G15" s="54"/>
      <c r="H15" s="54"/>
      <c r="I15" s="54"/>
      <c r="J15" s="54"/>
      <c r="K15" s="54"/>
      <c r="L15" s="54"/>
      <c r="M15" s="54">
        <v>17974000</v>
      </c>
      <c r="N15" s="54">
        <v>7172532.58</v>
      </c>
      <c r="O15" s="54"/>
      <c r="P15" s="54"/>
      <c r="Q15" s="54"/>
      <c r="R15" s="54"/>
    </row>
    <row r="16" spans="1:18" ht="11.25">
      <c r="A16" s="57" t="s">
        <v>56</v>
      </c>
      <c r="B16" s="54">
        <v>8800000</v>
      </c>
      <c r="C16" s="54">
        <v>2741189.99</v>
      </c>
      <c r="D16" s="54"/>
      <c r="E16" s="54"/>
      <c r="F16" s="54"/>
      <c r="G16" s="54"/>
      <c r="H16" s="54"/>
      <c r="I16" s="54"/>
      <c r="J16" s="54"/>
      <c r="K16" s="54"/>
      <c r="L16" s="54"/>
      <c r="M16" s="54">
        <v>9000000</v>
      </c>
      <c r="N16" s="54">
        <v>3654404.01</v>
      </c>
      <c r="O16" s="54"/>
      <c r="P16" s="54"/>
      <c r="Q16" s="54"/>
      <c r="R16" s="54"/>
    </row>
    <row r="17" spans="1:18" ht="11.25">
      <c r="A17" s="59" t="s">
        <v>18</v>
      </c>
      <c r="B17" s="60"/>
      <c r="C17" s="60"/>
      <c r="D17" s="60">
        <v>680000</v>
      </c>
      <c r="E17" s="60">
        <v>220925.66</v>
      </c>
      <c r="F17" s="60">
        <v>129000</v>
      </c>
      <c r="G17" s="60">
        <v>23058.55</v>
      </c>
      <c r="H17" s="60"/>
      <c r="I17" s="60"/>
      <c r="J17" s="60"/>
      <c r="K17" s="60"/>
      <c r="L17" s="60"/>
      <c r="M17" s="60"/>
      <c r="N17" s="60"/>
      <c r="O17" s="60">
        <v>1745000</v>
      </c>
      <c r="P17" s="60">
        <v>103170.93</v>
      </c>
      <c r="Q17" s="60">
        <v>750000</v>
      </c>
      <c r="R17" s="60">
        <v>103170.95</v>
      </c>
    </row>
    <row r="18" spans="1:18" ht="11.25">
      <c r="A18" s="57" t="s">
        <v>19</v>
      </c>
      <c r="B18" s="54"/>
      <c r="C18" s="54"/>
      <c r="D18" s="54">
        <v>5028000</v>
      </c>
      <c r="E18" s="54">
        <v>1255869.73</v>
      </c>
      <c r="F18" s="54"/>
      <c r="G18" s="54"/>
      <c r="H18" s="54"/>
      <c r="I18" s="54"/>
      <c r="J18" s="54"/>
      <c r="K18" s="54"/>
      <c r="L18" s="54"/>
      <c r="M18" s="54"/>
      <c r="N18" s="54"/>
      <c r="O18" s="54">
        <v>4120000</v>
      </c>
      <c r="P18" s="54">
        <v>1119590.61</v>
      </c>
      <c r="Q18" s="54">
        <v>3945000</v>
      </c>
      <c r="R18" s="54">
        <v>1119591.49</v>
      </c>
    </row>
    <row r="19" spans="1:18" ht="11.25">
      <c r="A19" s="57" t="s">
        <v>20</v>
      </c>
      <c r="B19" s="54"/>
      <c r="C19" s="54"/>
      <c r="D19" s="54">
        <v>1230000</v>
      </c>
      <c r="E19" s="54">
        <v>464138.77</v>
      </c>
      <c r="F19" s="54"/>
      <c r="G19" s="54">
        <v>189911.92</v>
      </c>
      <c r="H19" s="54"/>
      <c r="I19" s="54"/>
      <c r="J19" s="54"/>
      <c r="K19" s="54"/>
      <c r="L19" s="54"/>
      <c r="M19" s="54"/>
      <c r="N19" s="54"/>
      <c r="O19" s="54">
        <v>1816000</v>
      </c>
      <c r="P19" s="54">
        <v>301860.5</v>
      </c>
      <c r="Q19" s="54">
        <v>1816000</v>
      </c>
      <c r="R19" s="54">
        <v>301860.47</v>
      </c>
    </row>
    <row r="20" spans="1:18" ht="11.25">
      <c r="A20" s="57" t="s">
        <v>57</v>
      </c>
      <c r="B20" s="54"/>
      <c r="C20" s="54"/>
      <c r="D20" s="54">
        <v>2234000</v>
      </c>
      <c r="E20" s="54">
        <v>1264253.05</v>
      </c>
      <c r="F20" s="54">
        <v>734000</v>
      </c>
      <c r="G20" s="54">
        <v>55731.08</v>
      </c>
      <c r="H20" s="54"/>
      <c r="I20" s="54"/>
      <c r="J20" s="54"/>
      <c r="K20" s="54"/>
      <c r="L20" s="54"/>
      <c r="M20" s="54"/>
      <c r="N20" s="54"/>
      <c r="O20" s="54">
        <v>1791000</v>
      </c>
      <c r="P20" s="54">
        <v>130231.17</v>
      </c>
      <c r="Q20" s="54">
        <v>1791000</v>
      </c>
      <c r="R20" s="54">
        <v>130231.21</v>
      </c>
    </row>
    <row r="21" spans="1:18" ht="11.25">
      <c r="A21" s="57" t="s">
        <v>58</v>
      </c>
      <c r="B21" s="54"/>
      <c r="C21" s="54"/>
      <c r="D21" s="54">
        <v>3763000</v>
      </c>
      <c r="E21" s="54">
        <v>1124310.7</v>
      </c>
      <c r="F21" s="54">
        <v>1207000</v>
      </c>
      <c r="G21" s="54">
        <v>59411.87</v>
      </c>
      <c r="H21" s="54"/>
      <c r="I21" s="54"/>
      <c r="J21" s="54"/>
      <c r="K21" s="54"/>
      <c r="L21" s="54"/>
      <c r="M21" s="54"/>
      <c r="N21" s="54"/>
      <c r="O21" s="54">
        <v>2281500</v>
      </c>
      <c r="P21" s="54">
        <v>347398.9</v>
      </c>
      <c r="Q21" s="54">
        <v>2281500</v>
      </c>
      <c r="R21" s="54">
        <v>347399.52</v>
      </c>
    </row>
    <row r="22" spans="1:18" ht="11.25">
      <c r="A22" s="57" t="s">
        <v>23</v>
      </c>
      <c r="B22" s="54"/>
      <c r="C22" s="54"/>
      <c r="D22" s="54">
        <v>410000</v>
      </c>
      <c r="E22" s="54">
        <v>153687.74</v>
      </c>
      <c r="F22" s="54">
        <v>250000</v>
      </c>
      <c r="G22" s="54">
        <v>100170.41</v>
      </c>
      <c r="H22" s="54"/>
      <c r="I22" s="54"/>
      <c r="J22" s="54"/>
      <c r="K22" s="54"/>
      <c r="L22" s="54"/>
      <c r="M22" s="54"/>
      <c r="N22" s="54"/>
      <c r="O22" s="54">
        <v>2862000</v>
      </c>
      <c r="P22" s="54">
        <v>173728.67</v>
      </c>
      <c r="Q22" s="54">
        <v>2861000</v>
      </c>
      <c r="R22" s="54">
        <v>173728.55</v>
      </c>
    </row>
    <row r="23" spans="1:18" ht="11.25">
      <c r="A23" s="57" t="s">
        <v>24</v>
      </c>
      <c r="B23" s="54"/>
      <c r="C23" s="54"/>
      <c r="D23" s="54">
        <v>24197000</v>
      </c>
      <c r="E23" s="54"/>
      <c r="F23" s="54"/>
      <c r="G23" s="54"/>
      <c r="H23" s="54"/>
      <c r="I23" s="54"/>
      <c r="J23" s="54">
        <v>14166000</v>
      </c>
      <c r="K23" s="54">
        <v>33276609.42</v>
      </c>
      <c r="L23" s="54"/>
      <c r="M23" s="54"/>
      <c r="N23" s="54"/>
      <c r="O23" s="54">
        <v>14064000</v>
      </c>
      <c r="P23" s="54">
        <v>6025578.07</v>
      </c>
      <c r="Q23" s="54">
        <v>5033000</v>
      </c>
      <c r="R23" s="54">
        <v>6044836.5</v>
      </c>
    </row>
    <row r="24" spans="1:18" ht="11.25">
      <c r="A24" s="57" t="s">
        <v>25</v>
      </c>
      <c r="B24" s="54"/>
      <c r="C24" s="54"/>
      <c r="D24" s="54">
        <v>478000</v>
      </c>
      <c r="E24" s="54">
        <v>138038.43</v>
      </c>
      <c r="F24" s="54">
        <v>378000</v>
      </c>
      <c r="G24" s="54">
        <v>38248.12</v>
      </c>
      <c r="H24" s="54"/>
      <c r="I24" s="54"/>
      <c r="J24" s="54">
        <v>19000</v>
      </c>
      <c r="K24" s="54">
        <v>18625</v>
      </c>
      <c r="L24" s="54">
        <v>25946</v>
      </c>
      <c r="M24" s="54"/>
      <c r="N24" s="54"/>
      <c r="O24" s="54">
        <v>944000</v>
      </c>
      <c r="P24" s="54">
        <v>108448.33</v>
      </c>
      <c r="Q24" s="54">
        <v>944000</v>
      </c>
      <c r="R24" s="54">
        <v>108448.56</v>
      </c>
    </row>
    <row r="25" spans="1:18" ht="11.25">
      <c r="A25" s="57" t="s">
        <v>26</v>
      </c>
      <c r="B25" s="54"/>
      <c r="C25" s="54"/>
      <c r="D25" s="54">
        <v>15651000</v>
      </c>
      <c r="E25" s="54">
        <v>9585923.13</v>
      </c>
      <c r="F25" s="54">
        <v>2422400</v>
      </c>
      <c r="G25" s="54">
        <v>44876.76</v>
      </c>
      <c r="H25" s="54"/>
      <c r="I25" s="54"/>
      <c r="J25" s="54"/>
      <c r="K25" s="54"/>
      <c r="L25" s="54"/>
      <c r="M25" s="54"/>
      <c r="N25" s="54"/>
      <c r="O25" s="54">
        <v>1530000</v>
      </c>
      <c r="P25" s="54">
        <v>161181.73</v>
      </c>
      <c r="Q25" s="54">
        <v>1531100</v>
      </c>
      <c r="R25" s="54">
        <v>161181.89</v>
      </c>
    </row>
    <row r="26" spans="1:18" ht="11.25">
      <c r="A26" s="57" t="s">
        <v>29</v>
      </c>
      <c r="B26" s="54"/>
      <c r="C26" s="54"/>
      <c r="D26" s="54">
        <v>3862000</v>
      </c>
      <c r="E26" s="54">
        <v>2094642.85</v>
      </c>
      <c r="F26" s="54">
        <v>568200</v>
      </c>
      <c r="G26" s="54">
        <v>795272.75</v>
      </c>
      <c r="H26" s="54"/>
      <c r="I26" s="54"/>
      <c r="J26" s="54"/>
      <c r="K26" s="54"/>
      <c r="L26" s="54"/>
      <c r="M26" s="54"/>
      <c r="N26" s="54"/>
      <c r="O26" s="54">
        <v>4750000</v>
      </c>
      <c r="P26" s="54">
        <v>1027806.39</v>
      </c>
      <c r="Q26" s="54">
        <v>4849700</v>
      </c>
      <c r="R26" s="54">
        <v>1030178.38</v>
      </c>
    </row>
    <row r="27" spans="1:18" ht="11.25">
      <c r="A27" s="57" t="s">
        <v>30</v>
      </c>
      <c r="B27" s="54"/>
      <c r="C27" s="54"/>
      <c r="D27" s="54">
        <v>2187500</v>
      </c>
      <c r="E27" s="54">
        <v>2459148.28</v>
      </c>
      <c r="F27" s="54">
        <v>2702500</v>
      </c>
      <c r="G27" s="54">
        <v>2459148.45</v>
      </c>
      <c r="H27" s="54"/>
      <c r="I27" s="54"/>
      <c r="J27" s="54"/>
      <c r="K27" s="54"/>
      <c r="L27" s="54"/>
      <c r="M27" s="54"/>
      <c r="N27" s="54"/>
      <c r="O27" s="54">
        <v>3175500</v>
      </c>
      <c r="P27" s="54">
        <v>643888.28</v>
      </c>
      <c r="Q27" s="54">
        <v>3175500</v>
      </c>
      <c r="R27" s="54">
        <v>643888.84</v>
      </c>
    </row>
    <row r="28" spans="1:18" ht="11.25">
      <c r="A28" s="57" t="s">
        <v>28</v>
      </c>
      <c r="B28" s="54"/>
      <c r="C28" s="54"/>
      <c r="D28" s="54">
        <v>400000</v>
      </c>
      <c r="E28" s="54">
        <v>321526.7</v>
      </c>
      <c r="F28" s="54"/>
      <c r="G28" s="54"/>
      <c r="H28" s="54"/>
      <c r="I28" s="54"/>
      <c r="J28" s="54">
        <v>1000000</v>
      </c>
      <c r="K28" s="54">
        <v>213910.51</v>
      </c>
      <c r="L28" s="54"/>
      <c r="M28" s="54"/>
      <c r="N28" s="54"/>
      <c r="O28" s="54">
        <v>512000</v>
      </c>
      <c r="P28" s="54">
        <v>84866.75</v>
      </c>
      <c r="Q28" s="54">
        <v>512000</v>
      </c>
      <c r="R28" s="54">
        <v>84866.74</v>
      </c>
    </row>
    <row r="29" spans="1:18" ht="11.25">
      <c r="A29" s="61" t="s">
        <v>31</v>
      </c>
      <c r="B29" s="54"/>
      <c r="C29" s="54"/>
      <c r="D29" s="54">
        <v>110000</v>
      </c>
      <c r="E29" s="54">
        <v>62827.33</v>
      </c>
      <c r="F29" s="54">
        <v>110000</v>
      </c>
      <c r="G29" s="54">
        <v>62827.32</v>
      </c>
      <c r="H29" s="54"/>
      <c r="I29" s="54"/>
      <c r="J29" s="54">
        <v>1450000</v>
      </c>
      <c r="K29" s="54">
        <v>861653.79</v>
      </c>
      <c r="L29" s="54"/>
      <c r="M29" s="79"/>
      <c r="N29" s="79"/>
      <c r="O29" s="79">
        <v>956000</v>
      </c>
      <c r="P29" s="79">
        <v>573603.53</v>
      </c>
      <c r="Q29" s="79">
        <v>957000</v>
      </c>
      <c r="R29" s="79">
        <v>573602.98</v>
      </c>
    </row>
    <row r="30" spans="1:18" ht="11.25">
      <c r="A30" s="57" t="s">
        <v>32</v>
      </c>
      <c r="B30" s="54"/>
      <c r="C30" s="54"/>
      <c r="D30" s="54">
        <v>488000</v>
      </c>
      <c r="E30" s="54">
        <v>200458.4</v>
      </c>
      <c r="F30" s="54">
        <v>488000</v>
      </c>
      <c r="G30" s="54">
        <v>197060.76</v>
      </c>
      <c r="H30" s="54"/>
      <c r="I30" s="54"/>
      <c r="J30" s="54"/>
      <c r="K30" s="54"/>
      <c r="L30" s="54"/>
      <c r="M30" s="54"/>
      <c r="N30" s="54"/>
      <c r="O30" s="54">
        <v>1850000</v>
      </c>
      <c r="P30" s="54">
        <v>477550.48</v>
      </c>
      <c r="Q30" s="54">
        <v>1915000</v>
      </c>
      <c r="R30" s="54">
        <v>477550.77</v>
      </c>
    </row>
    <row r="31" spans="1:18" ht="11.25">
      <c r="A31" s="57" t="s">
        <v>33</v>
      </c>
      <c r="B31" s="54"/>
      <c r="C31" s="54"/>
      <c r="D31" s="54">
        <v>2350000</v>
      </c>
      <c r="E31" s="54">
        <v>3146478.18</v>
      </c>
      <c r="F31" s="54">
        <v>2350000</v>
      </c>
      <c r="G31" s="54">
        <v>550999.88</v>
      </c>
      <c r="H31" s="54"/>
      <c r="I31" s="54"/>
      <c r="J31" s="54"/>
      <c r="K31" s="54"/>
      <c r="L31" s="54"/>
      <c r="M31" s="54"/>
      <c r="N31" s="54"/>
      <c r="O31" s="54">
        <v>12000000</v>
      </c>
      <c r="P31" s="54">
        <v>2183717.33</v>
      </c>
      <c r="Q31" s="54">
        <v>12000000</v>
      </c>
      <c r="R31" s="54">
        <v>2183718.13</v>
      </c>
    </row>
    <row r="32" spans="1:18" ht="11.25">
      <c r="A32" s="57" t="s">
        <v>27</v>
      </c>
      <c r="B32" s="54"/>
      <c r="C32" s="54"/>
      <c r="D32" s="54">
        <v>2050000</v>
      </c>
      <c r="E32" s="54"/>
      <c r="F32" s="54"/>
      <c r="G32" s="54"/>
      <c r="H32" s="54"/>
      <c r="I32" s="54"/>
      <c r="J32" s="54">
        <v>2500000</v>
      </c>
      <c r="K32" s="54">
        <v>1667296.27</v>
      </c>
      <c r="L32" s="54"/>
      <c r="M32" s="54"/>
      <c r="N32" s="54"/>
      <c r="O32" s="54">
        <v>1023000</v>
      </c>
      <c r="P32" s="54">
        <v>47151.78</v>
      </c>
      <c r="Q32" s="54">
        <v>1023000</v>
      </c>
      <c r="R32" s="54">
        <v>47151.85</v>
      </c>
    </row>
    <row r="33" spans="1:18" ht="11.25">
      <c r="A33" s="57" t="s">
        <v>34</v>
      </c>
      <c r="B33" s="54"/>
      <c r="C33" s="54"/>
      <c r="D33" s="54">
        <v>1838000</v>
      </c>
      <c r="E33" s="54">
        <v>2272119.1</v>
      </c>
      <c r="F33" s="54">
        <v>2056478.65</v>
      </c>
      <c r="G33" s="54">
        <v>1688478.56</v>
      </c>
      <c r="H33" s="54"/>
      <c r="I33" s="54"/>
      <c r="J33" s="54"/>
      <c r="K33" s="54"/>
      <c r="L33" s="54"/>
      <c r="M33" s="54"/>
      <c r="N33" s="54"/>
      <c r="O33" s="54">
        <v>1029300</v>
      </c>
      <c r="P33" s="54">
        <v>563977.32</v>
      </c>
      <c r="Q33" s="54">
        <v>1025036.91</v>
      </c>
      <c r="R33" s="54">
        <v>564257.56</v>
      </c>
    </row>
    <row r="34" spans="1:18" ht="11.25">
      <c r="A34" s="57" t="s">
        <v>35</v>
      </c>
      <c r="B34" s="54"/>
      <c r="C34" s="54"/>
      <c r="D34" s="54">
        <v>6859000</v>
      </c>
      <c r="E34" s="54">
        <v>5049722.22</v>
      </c>
      <c r="F34" s="54">
        <v>341000</v>
      </c>
      <c r="G34" s="54">
        <v>160024.32</v>
      </c>
      <c r="H34" s="54"/>
      <c r="I34" s="54"/>
      <c r="J34" s="54">
        <v>500000</v>
      </c>
      <c r="K34" s="54">
        <v>883055.34</v>
      </c>
      <c r="L34" s="54"/>
      <c r="M34" s="54"/>
      <c r="N34" s="54"/>
      <c r="O34" s="54">
        <v>650000</v>
      </c>
      <c r="P34" s="54">
        <v>124409.01</v>
      </c>
      <c r="Q34" s="54">
        <v>650000</v>
      </c>
      <c r="R34" s="54">
        <v>124409.33</v>
      </c>
    </row>
    <row r="35" spans="1:18" ht="11.25">
      <c r="A35" s="57" t="s">
        <v>36</v>
      </c>
      <c r="B35" s="54"/>
      <c r="C35" s="54"/>
      <c r="D35" s="54">
        <v>891000</v>
      </c>
      <c r="E35" s="54">
        <v>273603.35</v>
      </c>
      <c r="F35" s="54">
        <v>891000</v>
      </c>
      <c r="G35" s="54">
        <v>273603.34</v>
      </c>
      <c r="H35" s="54"/>
      <c r="I35" s="54"/>
      <c r="J35" s="54"/>
      <c r="K35" s="54"/>
      <c r="L35" s="54"/>
      <c r="M35" s="54"/>
      <c r="N35" s="54"/>
      <c r="O35" s="54">
        <v>4122700</v>
      </c>
      <c r="P35" s="54">
        <v>188211.95</v>
      </c>
      <c r="Q35" s="54">
        <v>4122700</v>
      </c>
      <c r="R35" s="54">
        <v>188211.99</v>
      </c>
    </row>
    <row r="36" spans="1:18" ht="11.25">
      <c r="A36" s="57" t="s">
        <v>37</v>
      </c>
      <c r="B36" s="54"/>
      <c r="C36" s="54"/>
      <c r="D36" s="54">
        <v>600000</v>
      </c>
      <c r="E36" s="54">
        <v>368683.16</v>
      </c>
      <c r="F36" s="54">
        <v>600000</v>
      </c>
      <c r="G36" s="54">
        <v>368683.18</v>
      </c>
      <c r="H36" s="54"/>
      <c r="I36" s="54"/>
      <c r="J36" s="54"/>
      <c r="K36" s="54"/>
      <c r="L36" s="54"/>
      <c r="M36" s="54"/>
      <c r="N36" s="54"/>
      <c r="O36" s="54">
        <v>964000</v>
      </c>
      <c r="P36" s="54">
        <v>370525.69</v>
      </c>
      <c r="Q36" s="54">
        <v>964000</v>
      </c>
      <c r="R36" s="54">
        <v>370526.06</v>
      </c>
    </row>
    <row r="37" spans="1:18" ht="11.25">
      <c r="A37" s="57" t="s">
        <v>38</v>
      </c>
      <c r="B37" s="54"/>
      <c r="C37" s="54"/>
      <c r="D37" s="54">
        <v>9625000</v>
      </c>
      <c r="E37" s="54">
        <v>7582067.98</v>
      </c>
      <c r="F37" s="54">
        <v>9625000</v>
      </c>
      <c r="G37" s="54">
        <v>7582067.73</v>
      </c>
      <c r="H37" s="54"/>
      <c r="I37" s="54"/>
      <c r="J37" s="54"/>
      <c r="K37" s="54"/>
      <c r="L37" s="54"/>
      <c r="M37" s="54"/>
      <c r="N37" s="54"/>
      <c r="O37" s="54">
        <v>1335020</v>
      </c>
      <c r="P37" s="54">
        <v>557354.22</v>
      </c>
      <c r="Q37" s="54">
        <v>1335020</v>
      </c>
      <c r="R37" s="54">
        <v>557353.35</v>
      </c>
    </row>
    <row r="38" spans="1:18" ht="11.25">
      <c r="A38" s="57" t="s">
        <v>39</v>
      </c>
      <c r="B38" s="54"/>
      <c r="C38" s="54"/>
      <c r="D38" s="54">
        <v>6830000</v>
      </c>
      <c r="E38" s="54">
        <v>6106037.15</v>
      </c>
      <c r="F38" s="54">
        <v>1582000</v>
      </c>
      <c r="G38" s="54">
        <v>165381.48</v>
      </c>
      <c r="H38" s="54"/>
      <c r="I38" s="54"/>
      <c r="J38" s="54"/>
      <c r="K38" s="54"/>
      <c r="L38" s="54"/>
      <c r="M38" s="54"/>
      <c r="N38" s="54"/>
      <c r="O38" s="54">
        <v>11000000</v>
      </c>
      <c r="P38" s="54">
        <v>8541930.2</v>
      </c>
      <c r="Q38" s="54">
        <v>13750000</v>
      </c>
      <c r="R38" s="54">
        <v>8541928.8</v>
      </c>
    </row>
    <row r="39" spans="1:18" ht="11.25">
      <c r="A39" s="57" t="s">
        <v>40</v>
      </c>
      <c r="B39" s="54"/>
      <c r="C39" s="54"/>
      <c r="D39" s="54">
        <v>24474788</v>
      </c>
      <c r="E39" s="54">
        <v>9556200.64</v>
      </c>
      <c r="F39" s="54"/>
      <c r="G39" s="54"/>
      <c r="H39" s="54"/>
      <c r="I39" s="54"/>
      <c r="J39" s="54"/>
      <c r="K39" s="54"/>
      <c r="L39" s="54"/>
      <c r="M39" s="54"/>
      <c r="N39" s="54"/>
      <c r="O39" s="54">
        <v>2815000</v>
      </c>
      <c r="P39" s="54">
        <v>813668.04</v>
      </c>
      <c r="Q39" s="54">
        <v>2815000</v>
      </c>
      <c r="R39" s="54">
        <v>813571.9</v>
      </c>
    </row>
    <row r="40" spans="1:18" ht="11.25">
      <c r="A40" s="57" t="s">
        <v>41</v>
      </c>
      <c r="B40" s="54"/>
      <c r="C40" s="54"/>
      <c r="D40" s="54">
        <v>493000</v>
      </c>
      <c r="E40" s="54">
        <v>206902.45</v>
      </c>
      <c r="F40" s="54">
        <v>492000</v>
      </c>
      <c r="G40" s="54">
        <v>206902.43</v>
      </c>
      <c r="H40" s="54"/>
      <c r="I40" s="54"/>
      <c r="J40" s="54"/>
      <c r="K40" s="54"/>
      <c r="L40" s="54"/>
      <c r="M40" s="54"/>
      <c r="N40" s="54"/>
      <c r="O40" s="54">
        <v>2000000</v>
      </c>
      <c r="P40" s="54">
        <v>270907.8</v>
      </c>
      <c r="Q40" s="54">
        <v>2000000</v>
      </c>
      <c r="R40" s="54">
        <v>270908.43</v>
      </c>
    </row>
    <row r="41" spans="1:18" ht="11.25">
      <c r="A41" s="57" t="s">
        <v>42</v>
      </c>
      <c r="B41" s="54"/>
      <c r="C41" s="54"/>
      <c r="D41" s="54"/>
      <c r="E41" s="54">
        <v>6482.44</v>
      </c>
      <c r="F41" s="54"/>
      <c r="G41" s="54">
        <v>6482.47</v>
      </c>
      <c r="H41" s="54"/>
      <c r="I41" s="54"/>
      <c r="J41" s="54">
        <v>600000</v>
      </c>
      <c r="K41" s="54">
        <v>57588.29</v>
      </c>
      <c r="L41" s="54">
        <v>140811.34</v>
      </c>
      <c r="M41" s="54"/>
      <c r="N41" s="54"/>
      <c r="O41" s="54">
        <v>1220000</v>
      </c>
      <c r="P41" s="54">
        <v>49403.08</v>
      </c>
      <c r="Q41" s="54">
        <v>1217000</v>
      </c>
      <c r="R41" s="54">
        <v>49402.45</v>
      </c>
    </row>
    <row r="42" spans="1:18" ht="11.25">
      <c r="A42" s="57" t="s">
        <v>43</v>
      </c>
      <c r="B42" s="54"/>
      <c r="C42" s="54"/>
      <c r="D42" s="54"/>
      <c r="E42" s="54"/>
      <c r="F42" s="54"/>
      <c r="G42" s="54"/>
      <c r="H42" s="54"/>
      <c r="I42" s="54"/>
      <c r="J42" s="54">
        <v>3341900</v>
      </c>
      <c r="K42" s="54">
        <v>1470648.28</v>
      </c>
      <c r="L42" s="54"/>
      <c r="M42" s="54"/>
      <c r="N42" s="54"/>
      <c r="O42" s="54">
        <v>1418000</v>
      </c>
      <c r="P42" s="54">
        <v>45716.15</v>
      </c>
      <c r="Q42" s="54">
        <v>1418000</v>
      </c>
      <c r="R42" s="54">
        <v>45716.35</v>
      </c>
    </row>
    <row r="43" spans="1:18" ht="11.25">
      <c r="A43" s="57" t="s">
        <v>44</v>
      </c>
      <c r="B43" s="54"/>
      <c r="C43" s="54"/>
      <c r="D43" s="54">
        <v>2900000</v>
      </c>
      <c r="E43" s="54">
        <v>1749398.12</v>
      </c>
      <c r="F43" s="54"/>
      <c r="G43" s="54"/>
      <c r="H43" s="54"/>
      <c r="I43" s="54"/>
      <c r="J43" s="54"/>
      <c r="K43" s="54"/>
      <c r="L43" s="54"/>
      <c r="M43" s="54"/>
      <c r="N43" s="54"/>
      <c r="O43" s="54">
        <v>8145000</v>
      </c>
      <c r="P43" s="54">
        <v>4655085.5</v>
      </c>
      <c r="Q43" s="54">
        <v>8145000</v>
      </c>
      <c r="R43" s="54">
        <v>4655060.2</v>
      </c>
    </row>
    <row r="44" spans="1:18" ht="11.25">
      <c r="A44" s="57" t="s">
        <v>59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</row>
    <row r="45" spans="1:18" ht="12" thickBot="1">
      <c r="A45" s="57" t="s">
        <v>60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0"/>
  <sheetViews>
    <sheetView zoomScalePageLayoutView="0" workbookViewId="0" topLeftCell="A1">
      <pane xSplit="3" ySplit="5" topLeftCell="L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30" sqref="M30"/>
    </sheetView>
  </sheetViews>
  <sheetFormatPr defaultColWidth="9.125" defaultRowHeight="12.75"/>
  <cols>
    <col min="1" max="1" width="3.375" style="0" customWidth="1"/>
    <col min="2" max="2" width="24.75390625" style="10" customWidth="1"/>
    <col min="4" max="4" width="12.125" style="0" customWidth="1"/>
    <col min="5" max="5" width="12.75390625" style="0" customWidth="1"/>
    <col min="6" max="6" width="15.75390625" style="0" customWidth="1"/>
    <col min="7" max="7" width="15.125" style="0" customWidth="1"/>
    <col min="8" max="8" width="15.375" style="0" customWidth="1"/>
    <col min="9" max="9" width="13.00390625" style="0" customWidth="1"/>
    <col min="10" max="10" width="12.375" style="0" customWidth="1"/>
    <col min="11" max="11" width="26.375" style="0" customWidth="1"/>
    <col min="12" max="12" width="15.00390625" style="0" customWidth="1"/>
    <col min="13" max="13" width="16.00390625" style="0" customWidth="1"/>
    <col min="14" max="14" width="15.00390625" style="0" customWidth="1"/>
    <col min="15" max="15" width="15.625" style="0" customWidth="1"/>
    <col min="16" max="16" width="15.00390625" style="0" customWidth="1"/>
    <col min="17" max="18" width="15.75390625" style="0" customWidth="1"/>
  </cols>
  <sheetData>
    <row r="1" ht="12.75">
      <c r="B1" s="64"/>
    </row>
    <row r="2" spans="1:16" ht="28.5" customHeight="1">
      <c r="A2" s="389" t="s">
        <v>90</v>
      </c>
      <c r="B2" s="357"/>
      <c r="C2" s="389" t="s">
        <v>91</v>
      </c>
      <c r="D2" s="382" t="s">
        <v>92</v>
      </c>
      <c r="E2" s="383"/>
      <c r="F2" s="389" t="s">
        <v>93</v>
      </c>
      <c r="G2" s="386" t="s">
        <v>94</v>
      </c>
      <c r="H2" s="387"/>
      <c r="I2" s="387"/>
      <c r="J2" s="388"/>
      <c r="K2" s="382" t="s">
        <v>95</v>
      </c>
      <c r="L2" s="383"/>
      <c r="M2" s="386" t="s">
        <v>96</v>
      </c>
      <c r="N2" s="387"/>
      <c r="O2" s="387"/>
      <c r="P2" s="388"/>
    </row>
    <row r="3" spans="1:16" ht="35.25" customHeight="1">
      <c r="A3" s="397"/>
      <c r="B3" s="353"/>
      <c r="C3" s="397"/>
      <c r="D3" s="384"/>
      <c r="E3" s="385"/>
      <c r="F3" s="397"/>
      <c r="G3" s="389" t="s">
        <v>97</v>
      </c>
      <c r="H3" s="386" t="s">
        <v>98</v>
      </c>
      <c r="I3" s="387"/>
      <c r="J3" s="388"/>
      <c r="K3" s="384"/>
      <c r="L3" s="385"/>
      <c r="M3" s="391" t="s">
        <v>99</v>
      </c>
      <c r="N3" s="392"/>
      <c r="O3" s="391" t="s">
        <v>100</v>
      </c>
      <c r="P3" s="392"/>
    </row>
    <row r="4" spans="1:16" s="66" customFormat="1" ht="78.75">
      <c r="A4" s="390"/>
      <c r="B4" s="358"/>
      <c r="C4" s="390"/>
      <c r="D4" s="65" t="s">
        <v>101</v>
      </c>
      <c r="E4" s="65" t="s">
        <v>102</v>
      </c>
      <c r="F4" s="390"/>
      <c r="G4" s="390"/>
      <c r="H4" s="65" t="s">
        <v>103</v>
      </c>
      <c r="I4" s="65" t="s">
        <v>104</v>
      </c>
      <c r="J4" s="65" t="s">
        <v>105</v>
      </c>
      <c r="K4" s="65" t="s">
        <v>106</v>
      </c>
      <c r="L4" s="65" t="s">
        <v>107</v>
      </c>
      <c r="M4" s="65" t="s">
        <v>101</v>
      </c>
      <c r="N4" s="65" t="s">
        <v>108</v>
      </c>
      <c r="O4" s="65" t="s">
        <v>101</v>
      </c>
      <c r="P4" s="65" t="s">
        <v>108</v>
      </c>
    </row>
    <row r="5" spans="1:16" s="66" customFormat="1" ht="9" customHeight="1">
      <c r="A5" s="65" t="s">
        <v>109</v>
      </c>
      <c r="B5" s="12" t="s">
        <v>110</v>
      </c>
      <c r="D5" s="65">
        <v>1</v>
      </c>
      <c r="E5" s="65">
        <v>2</v>
      </c>
      <c r="F5" s="65">
        <v>3</v>
      </c>
      <c r="G5" s="67">
        <v>4</v>
      </c>
      <c r="H5" s="65">
        <v>5</v>
      </c>
      <c r="I5" s="65">
        <v>6</v>
      </c>
      <c r="J5" s="65">
        <v>7</v>
      </c>
      <c r="K5" s="65">
        <v>8</v>
      </c>
      <c r="L5" s="65">
        <v>9</v>
      </c>
      <c r="M5" s="65">
        <v>10</v>
      </c>
      <c r="N5" s="65">
        <v>11</v>
      </c>
      <c r="O5" s="65">
        <v>12</v>
      </c>
      <c r="P5" s="65">
        <v>13</v>
      </c>
    </row>
    <row r="6" spans="1:16" ht="12.75">
      <c r="A6" s="393">
        <v>1</v>
      </c>
      <c r="B6" s="395" t="s">
        <v>8</v>
      </c>
      <c r="C6" s="68" t="s">
        <v>74</v>
      </c>
      <c r="D6" s="69">
        <v>1</v>
      </c>
      <c r="E6" s="69">
        <v>1</v>
      </c>
      <c r="F6" s="69">
        <v>1</v>
      </c>
      <c r="G6" s="69">
        <v>1272</v>
      </c>
      <c r="H6" s="69"/>
      <c r="I6" s="69">
        <v>1272</v>
      </c>
      <c r="J6" s="69"/>
      <c r="K6" s="69"/>
      <c r="L6" s="69">
        <v>1272</v>
      </c>
      <c r="M6" s="69">
        <v>83253</v>
      </c>
      <c r="N6" s="69"/>
      <c r="O6" s="69">
        <v>83600</v>
      </c>
      <c r="P6" s="69"/>
    </row>
    <row r="7" spans="1:16" ht="12.75">
      <c r="A7" s="394"/>
      <c r="B7" s="396"/>
      <c r="C7" s="68" t="s">
        <v>111</v>
      </c>
      <c r="D7" s="69">
        <v>2</v>
      </c>
      <c r="E7" s="69">
        <v>2</v>
      </c>
      <c r="F7" s="69">
        <v>1</v>
      </c>
      <c r="G7" s="69">
        <v>2250</v>
      </c>
      <c r="H7" s="69"/>
      <c r="I7" s="69">
        <v>2250</v>
      </c>
      <c r="J7" s="69"/>
      <c r="K7" s="69"/>
      <c r="L7" s="69">
        <v>2250</v>
      </c>
      <c r="M7" s="69">
        <v>187346</v>
      </c>
      <c r="N7" s="69"/>
      <c r="O7" s="69">
        <v>188900</v>
      </c>
      <c r="P7" s="69"/>
    </row>
    <row r="8" spans="1:16" ht="12.75">
      <c r="A8" s="393">
        <f>A6+1</f>
        <v>2</v>
      </c>
      <c r="B8" s="395" t="s">
        <v>9</v>
      </c>
      <c r="C8" s="68" t="s">
        <v>74</v>
      </c>
      <c r="D8" s="69">
        <v>121</v>
      </c>
      <c r="E8" s="69">
        <v>111</v>
      </c>
      <c r="F8" s="69">
        <v>111</v>
      </c>
      <c r="G8" s="69">
        <v>330578</v>
      </c>
      <c r="H8" s="69">
        <v>330568</v>
      </c>
      <c r="I8" s="69"/>
      <c r="J8" s="69"/>
      <c r="K8" s="69">
        <v>12971</v>
      </c>
      <c r="L8" s="69">
        <v>317596</v>
      </c>
      <c r="M8" s="69">
        <v>3340650</v>
      </c>
      <c r="N8" s="69"/>
      <c r="O8" s="69">
        <v>7977417</v>
      </c>
      <c r="P8" s="69"/>
    </row>
    <row r="9" spans="1:16" ht="12.75">
      <c r="A9" s="394"/>
      <c r="B9" s="396"/>
      <c r="C9" s="68" t="s">
        <v>111</v>
      </c>
      <c r="D9" s="69">
        <v>81</v>
      </c>
      <c r="E9" s="69">
        <v>78</v>
      </c>
      <c r="F9" s="69">
        <v>78</v>
      </c>
      <c r="G9" s="69">
        <v>274248</v>
      </c>
      <c r="H9" s="69">
        <v>274248</v>
      </c>
      <c r="I9" s="69"/>
      <c r="J9" s="69"/>
      <c r="K9" s="69">
        <v>9938</v>
      </c>
      <c r="L9" s="70">
        <v>264311</v>
      </c>
      <c r="M9" s="69">
        <v>3144642</v>
      </c>
      <c r="N9" s="69"/>
      <c r="O9" s="69">
        <v>2263589</v>
      </c>
      <c r="P9" s="69"/>
    </row>
    <row r="10" spans="1:16" ht="12.75">
      <c r="A10" s="393">
        <f>A8+1</f>
        <v>3</v>
      </c>
      <c r="B10" s="395" t="s">
        <v>10</v>
      </c>
      <c r="C10" s="68" t="s">
        <v>74</v>
      </c>
      <c r="D10" s="69">
        <v>79</v>
      </c>
      <c r="E10" s="69">
        <v>49</v>
      </c>
      <c r="F10" s="69">
        <v>33</v>
      </c>
      <c r="G10" s="69">
        <v>1576543</v>
      </c>
      <c r="H10" s="69">
        <v>1576543</v>
      </c>
      <c r="I10" s="69"/>
      <c r="J10" s="69"/>
      <c r="K10" s="69">
        <v>1089559</v>
      </c>
      <c r="L10" s="69">
        <v>486984</v>
      </c>
      <c r="M10" s="69">
        <v>4119816</v>
      </c>
      <c r="N10" s="69"/>
      <c r="O10" s="69">
        <v>4119816</v>
      </c>
      <c r="P10" s="69"/>
    </row>
    <row r="11" spans="1:16" ht="12.75">
      <c r="A11" s="394"/>
      <c r="B11" s="396"/>
      <c r="C11" s="68" t="s">
        <v>111</v>
      </c>
      <c r="D11" s="69">
        <v>132</v>
      </c>
      <c r="E11" s="69">
        <v>56</v>
      </c>
      <c r="F11" s="69">
        <v>41</v>
      </c>
      <c r="G11" s="69">
        <v>2292143</v>
      </c>
      <c r="H11" s="69">
        <v>2292143</v>
      </c>
      <c r="I11" s="69"/>
      <c r="J11" s="69"/>
      <c r="K11" s="69">
        <v>1805159</v>
      </c>
      <c r="L11" s="69">
        <v>486984</v>
      </c>
      <c r="M11" s="69">
        <v>4641051</v>
      </c>
      <c r="N11" s="69"/>
      <c r="O11" s="69">
        <v>4641051</v>
      </c>
      <c r="P11" s="69"/>
    </row>
    <row r="12" spans="1:16" ht="12.75">
      <c r="A12" s="393">
        <f>A10+1</f>
        <v>4</v>
      </c>
      <c r="B12" s="395" t="s">
        <v>11</v>
      </c>
      <c r="C12" s="68" t="s">
        <v>74</v>
      </c>
      <c r="D12" s="69">
        <v>2572</v>
      </c>
      <c r="E12" s="69">
        <v>2458</v>
      </c>
      <c r="F12" s="69">
        <v>202</v>
      </c>
      <c r="G12" s="69">
        <v>33340256</v>
      </c>
      <c r="H12" s="69">
        <v>33286985</v>
      </c>
      <c r="I12" s="69">
        <v>53271</v>
      </c>
      <c r="J12" s="69"/>
      <c r="K12" s="69">
        <v>851224</v>
      </c>
      <c r="L12" s="69">
        <v>0</v>
      </c>
      <c r="M12" s="69">
        <v>341367641</v>
      </c>
      <c r="N12" s="69"/>
      <c r="O12" s="69">
        <v>358718850</v>
      </c>
      <c r="P12" s="69"/>
    </row>
    <row r="13" spans="1:16" ht="12.75">
      <c r="A13" s="394"/>
      <c r="B13" s="396"/>
      <c r="C13" s="68" t="s">
        <v>111</v>
      </c>
      <c r="D13" s="69">
        <v>2664</v>
      </c>
      <c r="E13" s="69">
        <v>2488</v>
      </c>
      <c r="F13" s="69">
        <v>203</v>
      </c>
      <c r="G13" s="69">
        <v>33585267</v>
      </c>
      <c r="H13" s="69">
        <v>33522358</v>
      </c>
      <c r="I13" s="69">
        <v>62909</v>
      </c>
      <c r="J13" s="69"/>
      <c r="K13" s="69">
        <v>852901</v>
      </c>
      <c r="L13" s="69">
        <v>0</v>
      </c>
      <c r="M13" s="69">
        <v>172211194</v>
      </c>
      <c r="N13" s="69"/>
      <c r="O13" s="69">
        <v>96889280</v>
      </c>
      <c r="P13" s="69"/>
    </row>
    <row r="14" spans="1:16" ht="12.75">
      <c r="A14" s="393">
        <f>A12+1</f>
        <v>5</v>
      </c>
      <c r="B14" s="395" t="s">
        <v>12</v>
      </c>
      <c r="C14" s="68" t="s">
        <v>74</v>
      </c>
      <c r="D14" s="69">
        <v>2564</v>
      </c>
      <c r="E14" s="69">
        <v>2368</v>
      </c>
      <c r="F14" s="69">
        <v>195</v>
      </c>
      <c r="G14" s="69">
        <v>600579</v>
      </c>
      <c r="H14" s="69">
        <v>600579</v>
      </c>
      <c r="I14" s="69"/>
      <c r="J14" s="69"/>
      <c r="K14" s="69">
        <v>89089</v>
      </c>
      <c r="L14" s="69">
        <v>511490</v>
      </c>
      <c r="M14" s="69">
        <v>4859463</v>
      </c>
      <c r="N14" s="69"/>
      <c r="O14" s="69">
        <v>2550587</v>
      </c>
      <c r="P14" s="69"/>
    </row>
    <row r="15" spans="1:16" ht="12.75">
      <c r="A15" s="394"/>
      <c r="B15" s="396"/>
      <c r="C15" s="68" t="s">
        <v>111</v>
      </c>
      <c r="D15" s="69">
        <v>2582</v>
      </c>
      <c r="E15" s="69">
        <v>2366</v>
      </c>
      <c r="F15" s="69">
        <v>199</v>
      </c>
      <c r="G15" s="69">
        <v>509787</v>
      </c>
      <c r="H15" s="69">
        <v>50977</v>
      </c>
      <c r="I15" s="69"/>
      <c r="J15" s="69"/>
      <c r="K15" s="69">
        <v>98778</v>
      </c>
      <c r="L15" s="69">
        <v>411009</v>
      </c>
      <c r="M15" s="69">
        <v>2365883</v>
      </c>
      <c r="N15" s="69"/>
      <c r="O15" s="69">
        <v>1011210</v>
      </c>
      <c r="P15" s="69"/>
    </row>
    <row r="16" spans="1:16" ht="12.75">
      <c r="A16" s="393">
        <f>A14+1</f>
        <v>6</v>
      </c>
      <c r="B16" s="395" t="s">
        <v>13</v>
      </c>
      <c r="C16" s="68" t="s">
        <v>74</v>
      </c>
      <c r="D16" s="69">
        <v>863</v>
      </c>
      <c r="E16" s="69">
        <v>483</v>
      </c>
      <c r="F16" s="69">
        <v>313</v>
      </c>
      <c r="G16" s="69">
        <v>2254446</v>
      </c>
      <c r="H16" s="69">
        <v>2254446</v>
      </c>
      <c r="I16" s="69"/>
      <c r="J16" s="69"/>
      <c r="K16" s="69">
        <v>121322</v>
      </c>
      <c r="L16" s="69">
        <v>2133124</v>
      </c>
      <c r="M16" s="69">
        <v>22133000</v>
      </c>
      <c r="N16" s="69"/>
      <c r="O16" s="69">
        <v>22032000</v>
      </c>
      <c r="P16" s="69"/>
    </row>
    <row r="17" spans="1:16" ht="12.75">
      <c r="A17" s="394"/>
      <c r="B17" s="396"/>
      <c r="C17" s="68" t="s">
        <v>111</v>
      </c>
      <c r="D17" s="69">
        <v>943</v>
      </c>
      <c r="E17" s="69">
        <v>505</v>
      </c>
      <c r="F17" s="69">
        <v>331</v>
      </c>
      <c r="G17" s="69">
        <v>2377507</v>
      </c>
      <c r="H17" s="69">
        <v>2377507</v>
      </c>
      <c r="I17" s="69"/>
      <c r="J17" s="69"/>
      <c r="K17" s="69">
        <v>135365</v>
      </c>
      <c r="L17" s="69">
        <v>2242142</v>
      </c>
      <c r="M17" s="69">
        <v>7144000</v>
      </c>
      <c r="N17" s="69"/>
      <c r="O17" s="69">
        <v>6718000</v>
      </c>
      <c r="P17" s="69"/>
    </row>
    <row r="18" spans="1:16" ht="12.75">
      <c r="A18" s="393">
        <f>A16+1</f>
        <v>7</v>
      </c>
      <c r="B18" s="395" t="s">
        <v>14</v>
      </c>
      <c r="C18" s="68" t="s">
        <v>74</v>
      </c>
      <c r="D18" s="69">
        <v>646</v>
      </c>
      <c r="E18" s="69">
        <v>50</v>
      </c>
      <c r="F18" s="69">
        <v>50</v>
      </c>
      <c r="G18" s="69">
        <v>25925604</v>
      </c>
      <c r="H18" s="69">
        <v>25925157</v>
      </c>
      <c r="I18" s="69">
        <v>447</v>
      </c>
      <c r="J18" s="69"/>
      <c r="K18" s="69">
        <v>21786525</v>
      </c>
      <c r="L18" s="69">
        <v>4139078</v>
      </c>
      <c r="M18" s="69">
        <v>18156852</v>
      </c>
      <c r="N18" s="69"/>
      <c r="O18" s="69">
        <v>17810825</v>
      </c>
      <c r="P18" s="69"/>
    </row>
    <row r="19" spans="1:16" ht="12.75">
      <c r="A19" s="394"/>
      <c r="B19" s="396"/>
      <c r="C19" s="68" t="s">
        <v>111</v>
      </c>
      <c r="D19" s="69">
        <v>626</v>
      </c>
      <c r="E19" s="69">
        <v>79</v>
      </c>
      <c r="F19" s="69">
        <v>79</v>
      </c>
      <c r="G19" s="69">
        <v>23656833</v>
      </c>
      <c r="H19" s="69">
        <v>23654757</v>
      </c>
      <c r="I19" s="69">
        <v>2076</v>
      </c>
      <c r="J19" s="69"/>
      <c r="K19" s="69">
        <v>9351505</v>
      </c>
      <c r="L19" s="69">
        <v>14305327</v>
      </c>
      <c r="M19" s="69">
        <v>3663317</v>
      </c>
      <c r="N19" s="69"/>
      <c r="O19" s="69">
        <v>5349166</v>
      </c>
      <c r="P19" s="69"/>
    </row>
    <row r="20" spans="1:16" ht="12.75">
      <c r="A20" s="393">
        <f>A18+1</f>
        <v>8</v>
      </c>
      <c r="B20" s="395" t="s">
        <v>15</v>
      </c>
      <c r="C20" s="68" t="s">
        <v>74</v>
      </c>
      <c r="D20" s="69">
        <v>3314</v>
      </c>
      <c r="E20" s="69">
        <v>3110</v>
      </c>
      <c r="F20" s="69">
        <v>378</v>
      </c>
      <c r="G20" s="69">
        <v>3073578</v>
      </c>
      <c r="H20" s="69"/>
      <c r="I20" s="69"/>
      <c r="J20" s="69"/>
      <c r="K20" s="69">
        <v>114850</v>
      </c>
      <c r="L20" s="69">
        <v>2958728</v>
      </c>
      <c r="M20" s="69">
        <v>128722648</v>
      </c>
      <c r="N20" s="69"/>
      <c r="O20" s="69">
        <v>131046000</v>
      </c>
      <c r="P20" s="69"/>
    </row>
    <row r="21" spans="1:16" ht="12.75">
      <c r="A21" s="394"/>
      <c r="B21" s="396"/>
      <c r="C21" s="68" t="s">
        <v>111</v>
      </c>
      <c r="D21" s="69">
        <v>3481</v>
      </c>
      <c r="E21" s="69">
        <v>3158</v>
      </c>
      <c r="F21" s="69">
        <v>421</v>
      </c>
      <c r="G21" s="69">
        <v>4705994</v>
      </c>
      <c r="H21" s="69"/>
      <c r="I21" s="69"/>
      <c r="J21" s="69"/>
      <c r="K21" s="69"/>
      <c r="L21" s="69">
        <v>4586536</v>
      </c>
      <c r="M21" s="69">
        <v>110284327</v>
      </c>
      <c r="N21" s="69"/>
      <c r="O21" s="69">
        <v>49836000</v>
      </c>
      <c r="P21" s="69"/>
    </row>
    <row r="22" spans="1:16" ht="12.75">
      <c r="A22" s="393">
        <f>A20+1</f>
        <v>9</v>
      </c>
      <c r="B22" s="395" t="s">
        <v>16</v>
      </c>
      <c r="C22" s="68" t="s">
        <v>74</v>
      </c>
      <c r="D22" s="69">
        <v>3139</v>
      </c>
      <c r="E22" s="69">
        <v>2845</v>
      </c>
      <c r="F22" s="69">
        <v>2545</v>
      </c>
      <c r="G22" s="69">
        <v>29138761</v>
      </c>
      <c r="H22" s="69">
        <v>29138761</v>
      </c>
      <c r="I22" s="69"/>
      <c r="J22" s="69"/>
      <c r="K22" s="69">
        <v>1910675</v>
      </c>
      <c r="L22" s="69">
        <v>27228086</v>
      </c>
      <c r="M22" s="69">
        <v>618105575</v>
      </c>
      <c r="N22" s="69"/>
      <c r="O22" s="69">
        <v>708335000</v>
      </c>
      <c r="P22" s="69"/>
    </row>
    <row r="23" spans="1:16" ht="12.75">
      <c r="A23" s="394"/>
      <c r="B23" s="396"/>
      <c r="C23" s="68" t="s">
        <v>111</v>
      </c>
      <c r="D23" s="69">
        <v>3038</v>
      </c>
      <c r="E23" s="69">
        <v>2592</v>
      </c>
      <c r="F23" s="69">
        <v>2430</v>
      </c>
      <c r="G23" s="69">
        <v>29679193</v>
      </c>
      <c r="H23" s="69">
        <v>29679193</v>
      </c>
      <c r="I23" s="69"/>
      <c r="J23" s="69"/>
      <c r="K23" s="69">
        <v>1701088</v>
      </c>
      <c r="L23" s="69">
        <v>27978105</v>
      </c>
      <c r="M23" s="69">
        <v>349797748</v>
      </c>
      <c r="N23" s="69"/>
      <c r="O23" s="69">
        <v>284578409</v>
      </c>
      <c r="P23" s="69"/>
    </row>
    <row r="24" spans="1:16" ht="12.75">
      <c r="A24" s="393">
        <f>A22+1</f>
        <v>10</v>
      </c>
      <c r="B24" s="395" t="s">
        <v>17</v>
      </c>
      <c r="C24" s="68" t="s">
        <v>74</v>
      </c>
      <c r="D24" s="69">
        <v>2120</v>
      </c>
      <c r="E24" s="69">
        <v>1362</v>
      </c>
      <c r="F24" s="69">
        <v>1278</v>
      </c>
      <c r="G24" s="69">
        <v>2385252</v>
      </c>
      <c r="H24" s="69">
        <v>2385252</v>
      </c>
      <c r="I24" s="69"/>
      <c r="J24" s="69"/>
      <c r="K24" s="69">
        <v>863394</v>
      </c>
      <c r="L24" s="69">
        <v>1521858</v>
      </c>
      <c r="M24" s="69">
        <v>5062226</v>
      </c>
      <c r="N24" s="69"/>
      <c r="O24" s="69">
        <v>4857600</v>
      </c>
      <c r="P24" s="69"/>
    </row>
    <row r="25" spans="1:16" ht="12.75">
      <c r="A25" s="394"/>
      <c r="B25" s="396"/>
      <c r="C25" s="68" t="s">
        <v>111</v>
      </c>
      <c r="D25" s="69">
        <v>111</v>
      </c>
      <c r="E25" s="69">
        <v>66</v>
      </c>
      <c r="F25" s="69">
        <v>56</v>
      </c>
      <c r="G25" s="69">
        <v>2563685</v>
      </c>
      <c r="H25" s="69">
        <v>2563685</v>
      </c>
      <c r="I25" s="69"/>
      <c r="J25" s="69"/>
      <c r="K25" s="69">
        <v>883475</v>
      </c>
      <c r="L25" s="69">
        <v>1680210</v>
      </c>
      <c r="M25" s="69">
        <v>3094447</v>
      </c>
      <c r="N25" s="69"/>
      <c r="O25" s="69">
        <v>1935287</v>
      </c>
      <c r="P25" s="69"/>
    </row>
    <row r="26" spans="1:17" ht="12.75">
      <c r="A26" s="393">
        <f>A24+1</f>
        <v>11</v>
      </c>
      <c r="B26" s="395" t="s">
        <v>18</v>
      </c>
      <c r="C26" s="68" t="s">
        <v>74</v>
      </c>
      <c r="D26" s="69">
        <v>66</v>
      </c>
      <c r="E26" s="69">
        <v>21</v>
      </c>
      <c r="F26" s="69">
        <v>21</v>
      </c>
      <c r="G26" s="69">
        <v>80064300</v>
      </c>
      <c r="H26" s="69">
        <v>80064300</v>
      </c>
      <c r="I26" s="69"/>
      <c r="J26" s="69"/>
      <c r="K26" s="69">
        <v>79865399</v>
      </c>
      <c r="L26" s="69">
        <v>198901</v>
      </c>
      <c r="M26" s="69">
        <v>592739</v>
      </c>
      <c r="N26" s="69">
        <v>202295</v>
      </c>
      <c r="O26" s="69">
        <v>592739</v>
      </c>
      <c r="P26" s="69">
        <v>202295</v>
      </c>
      <c r="Q26" s="74">
        <f>O26-P26</f>
        <v>390444</v>
      </c>
    </row>
    <row r="27" spans="1:17" ht="12.75">
      <c r="A27" s="394"/>
      <c r="B27" s="396"/>
      <c r="C27" s="68" t="s">
        <v>111</v>
      </c>
      <c r="D27" s="69">
        <v>91</v>
      </c>
      <c r="E27" s="69">
        <v>21</v>
      </c>
      <c r="F27" s="69">
        <v>21</v>
      </c>
      <c r="G27" s="69">
        <v>202877351</v>
      </c>
      <c r="H27" s="69">
        <v>202877351</v>
      </c>
      <c r="I27" s="69"/>
      <c r="J27" s="69"/>
      <c r="K27" s="69">
        <v>191870826</v>
      </c>
      <c r="L27" s="69">
        <v>11006526</v>
      </c>
      <c r="M27" s="69">
        <v>373874</v>
      </c>
      <c r="N27" s="69">
        <v>212456</v>
      </c>
      <c r="O27" s="69">
        <v>206461</v>
      </c>
      <c r="P27" s="69">
        <v>105839</v>
      </c>
      <c r="Q27" s="74">
        <f aca="true" t="shared" si="0" ref="Q27:Q79">O27-P27</f>
        <v>100622</v>
      </c>
    </row>
    <row r="28" spans="1:17" ht="12.75">
      <c r="A28" s="371">
        <f>A26+1</f>
        <v>12</v>
      </c>
      <c r="B28" s="395" t="s">
        <v>19</v>
      </c>
      <c r="C28" s="68" t="s">
        <v>74</v>
      </c>
      <c r="D28" s="69">
        <v>116</v>
      </c>
      <c r="E28" s="69">
        <v>64</v>
      </c>
      <c r="F28" s="69">
        <v>64</v>
      </c>
      <c r="G28" s="69">
        <v>32255400</v>
      </c>
      <c r="H28" s="69">
        <v>32255400</v>
      </c>
      <c r="I28" s="69">
        <v>0</v>
      </c>
      <c r="J28" s="69">
        <v>0</v>
      </c>
      <c r="K28" s="69">
        <v>28543305</v>
      </c>
      <c r="L28" s="69">
        <v>3712095</v>
      </c>
      <c r="M28" s="69">
        <v>5012100</v>
      </c>
      <c r="N28" s="69">
        <v>227200</v>
      </c>
      <c r="O28" s="69">
        <v>5276500</v>
      </c>
      <c r="P28" s="69">
        <v>223100</v>
      </c>
      <c r="Q28" s="74">
        <f t="shared" si="0"/>
        <v>5053400</v>
      </c>
    </row>
    <row r="29" spans="1:17" ht="12.75">
      <c r="A29" s="371"/>
      <c r="B29" s="396"/>
      <c r="C29" s="68" t="s">
        <v>111</v>
      </c>
      <c r="D29" s="69">
        <v>44</v>
      </c>
      <c r="E29" s="69">
        <v>6</v>
      </c>
      <c r="F29" s="69">
        <v>6</v>
      </c>
      <c r="G29" s="69">
        <v>32812416</v>
      </c>
      <c r="H29" s="69">
        <v>32812416</v>
      </c>
      <c r="I29" s="69"/>
      <c r="J29" s="69"/>
      <c r="K29" s="69">
        <v>29100921</v>
      </c>
      <c r="L29" s="69">
        <v>3712095</v>
      </c>
      <c r="M29" s="69">
        <v>2929000</v>
      </c>
      <c r="N29" s="69">
        <v>249700</v>
      </c>
      <c r="O29" s="69">
        <v>1150500</v>
      </c>
      <c r="P29" s="69">
        <v>24800</v>
      </c>
      <c r="Q29" s="74">
        <f t="shared" si="0"/>
        <v>1125700</v>
      </c>
    </row>
    <row r="30" spans="1:17" ht="12.75">
      <c r="A30" s="371">
        <f>A28+1</f>
        <v>13</v>
      </c>
      <c r="B30" s="395" t="s">
        <v>20</v>
      </c>
      <c r="C30" s="68" t="s">
        <v>74</v>
      </c>
      <c r="D30" s="69">
        <v>121</v>
      </c>
      <c r="E30" s="69">
        <v>98</v>
      </c>
      <c r="F30" s="69">
        <v>98</v>
      </c>
      <c r="G30" s="69">
        <v>57481500</v>
      </c>
      <c r="H30" s="69">
        <v>57481500</v>
      </c>
      <c r="I30" s="69"/>
      <c r="J30" s="69"/>
      <c r="K30" s="69">
        <v>56653215</v>
      </c>
      <c r="L30" s="69">
        <v>828285</v>
      </c>
      <c r="M30" s="69">
        <v>1476605</v>
      </c>
      <c r="N30" s="69">
        <v>273033</v>
      </c>
      <c r="O30" s="69">
        <v>1274823</v>
      </c>
      <c r="P30" s="69">
        <v>287062</v>
      </c>
      <c r="Q30" s="74">
        <f t="shared" si="0"/>
        <v>987761</v>
      </c>
    </row>
    <row r="31" spans="1:17" ht="12.75">
      <c r="A31" s="371"/>
      <c r="B31" s="396"/>
      <c r="C31" s="68" t="s">
        <v>111</v>
      </c>
      <c r="D31" s="69">
        <v>129</v>
      </c>
      <c r="E31" s="69">
        <v>103</v>
      </c>
      <c r="F31" s="69">
        <v>103</v>
      </c>
      <c r="G31" s="69">
        <v>57481500</v>
      </c>
      <c r="H31" s="69">
        <v>57481500</v>
      </c>
      <c r="I31" s="69"/>
      <c r="J31" s="69"/>
      <c r="K31" s="69">
        <v>56653215</v>
      </c>
      <c r="L31" s="69">
        <v>282285</v>
      </c>
      <c r="M31" s="69">
        <v>1556694</v>
      </c>
      <c r="N31" s="69">
        <v>185815</v>
      </c>
      <c r="O31" s="69">
        <v>507278</v>
      </c>
      <c r="P31" s="69">
        <v>58254</v>
      </c>
      <c r="Q31" s="74">
        <f t="shared" si="0"/>
        <v>449024</v>
      </c>
    </row>
    <row r="32" spans="1:17" ht="12.75">
      <c r="A32" s="393">
        <f>A30+1</f>
        <v>14</v>
      </c>
      <c r="B32" s="395" t="s">
        <v>21</v>
      </c>
      <c r="C32" s="68" t="s">
        <v>74</v>
      </c>
      <c r="D32" s="69">
        <v>245</v>
      </c>
      <c r="E32" s="69">
        <v>187</v>
      </c>
      <c r="F32" s="69">
        <v>186</v>
      </c>
      <c r="G32" s="69">
        <v>305221710</v>
      </c>
      <c r="H32" s="69">
        <v>305221710</v>
      </c>
      <c r="I32" s="69"/>
      <c r="J32" s="69"/>
      <c r="K32" s="69">
        <v>304978100</v>
      </c>
      <c r="L32" s="69">
        <v>243610</v>
      </c>
      <c r="M32" s="69">
        <v>1530995</v>
      </c>
      <c r="N32" s="69">
        <v>817731</v>
      </c>
      <c r="O32" s="69">
        <v>1921556</v>
      </c>
      <c r="P32" s="69">
        <v>817731</v>
      </c>
      <c r="Q32" s="74">
        <f t="shared" si="0"/>
        <v>1103825</v>
      </c>
    </row>
    <row r="33" spans="1:17" ht="12.75">
      <c r="A33" s="394"/>
      <c r="B33" s="396"/>
      <c r="C33" s="68" t="s">
        <v>111</v>
      </c>
      <c r="D33" s="69">
        <v>268</v>
      </c>
      <c r="E33" s="69">
        <v>201</v>
      </c>
      <c r="F33" s="69">
        <v>199</v>
      </c>
      <c r="G33" s="69">
        <v>328338821</v>
      </c>
      <c r="H33" s="69">
        <v>328338821</v>
      </c>
      <c r="I33" s="69"/>
      <c r="J33" s="69"/>
      <c r="K33" s="69">
        <v>328077929</v>
      </c>
      <c r="L33" s="69">
        <v>260892</v>
      </c>
      <c r="M33" s="69">
        <v>2968000</v>
      </c>
      <c r="N33" s="69">
        <v>1164724</v>
      </c>
      <c r="O33" s="69">
        <v>1315812</v>
      </c>
      <c r="P33" s="69">
        <v>582362</v>
      </c>
      <c r="Q33" s="74">
        <f t="shared" si="0"/>
        <v>733450</v>
      </c>
    </row>
    <row r="34" spans="1:17" ht="12.75">
      <c r="A34" s="393">
        <f>A32+1</f>
        <v>15</v>
      </c>
      <c r="B34" s="395" t="s">
        <v>22</v>
      </c>
      <c r="C34" s="68" t="s">
        <v>74</v>
      </c>
      <c r="D34" s="69">
        <v>144</v>
      </c>
      <c r="E34" s="69">
        <v>16</v>
      </c>
      <c r="F34" s="69">
        <v>16</v>
      </c>
      <c r="G34" s="69">
        <v>39015500</v>
      </c>
      <c r="H34" s="69">
        <v>39015500</v>
      </c>
      <c r="I34" s="69"/>
      <c r="J34" s="69"/>
      <c r="K34" s="69">
        <v>389431500</v>
      </c>
      <c r="L34" s="69">
        <v>674000</v>
      </c>
      <c r="M34" s="69">
        <v>3553457</v>
      </c>
      <c r="N34" s="69">
        <v>2162157</v>
      </c>
      <c r="O34" s="69">
        <v>4139152</v>
      </c>
      <c r="P34" s="69">
        <v>1818097</v>
      </c>
      <c r="Q34" s="74">
        <f t="shared" si="0"/>
        <v>2321055</v>
      </c>
    </row>
    <row r="35" spans="1:17" ht="12.75">
      <c r="A35" s="394"/>
      <c r="B35" s="396"/>
      <c r="C35" s="68" t="s">
        <v>111</v>
      </c>
      <c r="D35" s="69">
        <v>99</v>
      </c>
      <c r="E35" s="69">
        <v>34</v>
      </c>
      <c r="F35" s="69">
        <v>34</v>
      </c>
      <c r="G35" s="69">
        <v>552400</v>
      </c>
      <c r="H35" s="69">
        <v>552400</v>
      </c>
      <c r="I35" s="69"/>
      <c r="J35" s="69"/>
      <c r="K35" s="69" t="s">
        <v>112</v>
      </c>
      <c r="L35" s="69">
        <v>501800</v>
      </c>
      <c r="M35" s="69">
        <v>1977001</v>
      </c>
      <c r="N35" s="69">
        <v>0</v>
      </c>
      <c r="O35" s="69">
        <v>1293723</v>
      </c>
      <c r="P35" s="69">
        <v>159134</v>
      </c>
      <c r="Q35" s="74">
        <f t="shared" si="0"/>
        <v>1134589</v>
      </c>
    </row>
    <row r="36" spans="1:17" ht="12.75">
      <c r="A36" s="393">
        <f>A34+1</f>
        <v>16</v>
      </c>
      <c r="B36" s="395" t="s">
        <v>23</v>
      </c>
      <c r="C36" s="68" t="s">
        <v>74</v>
      </c>
      <c r="D36" s="69">
        <v>198</v>
      </c>
      <c r="E36" s="69">
        <v>187</v>
      </c>
      <c r="F36" s="69">
        <v>187</v>
      </c>
      <c r="G36" s="69">
        <v>9064256</v>
      </c>
      <c r="H36" s="69">
        <v>9064256</v>
      </c>
      <c r="I36" s="69"/>
      <c r="J36" s="69"/>
      <c r="K36" s="69">
        <v>4926726</v>
      </c>
      <c r="L36" s="69">
        <v>4137530</v>
      </c>
      <c r="M36" s="69">
        <v>820000</v>
      </c>
      <c r="N36" s="69">
        <v>445697</v>
      </c>
      <c r="O36" s="69">
        <v>783123</v>
      </c>
      <c r="P36" s="69">
        <v>425624</v>
      </c>
      <c r="Q36" s="74">
        <f t="shared" si="0"/>
        <v>357499</v>
      </c>
    </row>
    <row r="37" spans="1:17" ht="12.75">
      <c r="A37" s="394"/>
      <c r="B37" s="396"/>
      <c r="C37" s="68" t="s">
        <v>111</v>
      </c>
      <c r="D37" s="69">
        <v>191</v>
      </c>
      <c r="E37" s="69">
        <v>168</v>
      </c>
      <c r="F37" s="69">
        <v>168</v>
      </c>
      <c r="G37" s="69">
        <v>5959847</v>
      </c>
      <c r="H37" s="69">
        <v>5959847</v>
      </c>
      <c r="I37" s="69"/>
      <c r="J37" s="69"/>
      <c r="K37" s="69">
        <v>3259632</v>
      </c>
      <c r="L37" s="69">
        <v>2700215</v>
      </c>
      <c r="M37" s="69">
        <v>660000</v>
      </c>
      <c r="N37" s="69">
        <v>360975</v>
      </c>
      <c r="O37" s="69">
        <v>253858</v>
      </c>
      <c r="P37" s="69">
        <v>138843</v>
      </c>
      <c r="Q37" s="74">
        <f t="shared" si="0"/>
        <v>115015</v>
      </c>
    </row>
    <row r="38" spans="1:17" ht="12.75">
      <c r="A38" s="393">
        <f>A36+1</f>
        <v>17</v>
      </c>
      <c r="B38" s="398" t="s">
        <v>24</v>
      </c>
      <c r="C38" s="68" t="s">
        <v>74</v>
      </c>
      <c r="D38" s="69"/>
      <c r="E38" s="69"/>
      <c r="F38" s="69"/>
      <c r="G38" s="69"/>
      <c r="H38" s="69"/>
      <c r="I38" s="69"/>
      <c r="J38" s="69"/>
      <c r="K38" s="69"/>
      <c r="L38" s="69"/>
      <c r="M38" s="69">
        <v>20530780</v>
      </c>
      <c r="N38" s="69">
        <v>98530</v>
      </c>
      <c r="O38" s="69">
        <v>20479553</v>
      </c>
      <c r="P38" s="69">
        <v>98530</v>
      </c>
      <c r="Q38" s="74">
        <f t="shared" si="0"/>
        <v>20381023</v>
      </c>
    </row>
    <row r="39" spans="1:17" ht="12.75">
      <c r="A39" s="394"/>
      <c r="B39" s="399"/>
      <c r="C39" s="68" t="s">
        <v>111</v>
      </c>
      <c r="D39" s="69"/>
      <c r="E39" s="69"/>
      <c r="F39" s="69"/>
      <c r="G39" s="69"/>
      <c r="H39" s="69"/>
      <c r="I39" s="69"/>
      <c r="J39" s="69"/>
      <c r="K39" s="69"/>
      <c r="L39" s="69"/>
      <c r="M39" s="69">
        <v>20530780</v>
      </c>
      <c r="N39" s="69">
        <v>26833</v>
      </c>
      <c r="O39" s="69">
        <v>33276609</v>
      </c>
      <c r="P39" s="69">
        <v>26833</v>
      </c>
      <c r="Q39" s="74">
        <f t="shared" si="0"/>
        <v>33249776</v>
      </c>
    </row>
    <row r="40" spans="1:17" ht="12.75">
      <c r="A40" s="393">
        <f>A38+1</f>
        <v>18</v>
      </c>
      <c r="B40" s="395" t="s">
        <v>25</v>
      </c>
      <c r="C40" s="68" t="s">
        <v>74</v>
      </c>
      <c r="D40" s="69">
        <v>46</v>
      </c>
      <c r="E40" s="69">
        <v>7</v>
      </c>
      <c r="F40" s="69">
        <v>7</v>
      </c>
      <c r="G40" s="69">
        <v>52902079</v>
      </c>
      <c r="H40" s="69">
        <v>52813417</v>
      </c>
      <c r="I40" s="69">
        <v>88662</v>
      </c>
      <c r="J40" s="69"/>
      <c r="K40" s="69">
        <v>52860362</v>
      </c>
      <c r="L40" s="69">
        <v>41717</v>
      </c>
      <c r="M40" s="69">
        <v>1484430</v>
      </c>
      <c r="N40" s="69">
        <v>1204544</v>
      </c>
      <c r="O40" s="69">
        <v>1315745</v>
      </c>
      <c r="P40" s="69">
        <v>1102581</v>
      </c>
      <c r="Q40" s="74">
        <f t="shared" si="0"/>
        <v>213164</v>
      </c>
    </row>
    <row r="41" spans="1:17" ht="12.75">
      <c r="A41" s="394"/>
      <c r="B41" s="396"/>
      <c r="C41" s="68" t="s">
        <v>111</v>
      </c>
      <c r="D41" s="69">
        <v>35</v>
      </c>
      <c r="E41" s="69">
        <v>7</v>
      </c>
      <c r="F41" s="69">
        <v>7</v>
      </c>
      <c r="G41" s="69">
        <v>60783993</v>
      </c>
      <c r="H41" s="69">
        <v>60703523</v>
      </c>
      <c r="I41" s="69">
        <v>80470</v>
      </c>
      <c r="J41" s="69"/>
      <c r="K41" s="69">
        <v>60775840</v>
      </c>
      <c r="L41" s="69">
        <v>8153</v>
      </c>
      <c r="M41" s="69">
        <v>257464</v>
      </c>
      <c r="N41" s="69">
        <v>210223</v>
      </c>
      <c r="O41" s="69">
        <v>162786</v>
      </c>
      <c r="P41" s="69">
        <v>50028</v>
      </c>
      <c r="Q41" s="74">
        <f t="shared" si="0"/>
        <v>112758</v>
      </c>
    </row>
    <row r="42" spans="1:17" ht="12.75">
      <c r="A42" s="393">
        <f>A40+1</f>
        <v>19</v>
      </c>
      <c r="B42" s="395" t="s">
        <v>26</v>
      </c>
      <c r="C42" s="68" t="s">
        <v>74</v>
      </c>
      <c r="D42" s="69">
        <v>118</v>
      </c>
      <c r="E42" s="69">
        <v>103</v>
      </c>
      <c r="F42" s="69">
        <v>14</v>
      </c>
      <c r="G42" s="69">
        <v>6981570</v>
      </c>
      <c r="H42" s="69">
        <v>6981570</v>
      </c>
      <c r="I42" s="69"/>
      <c r="J42" s="69"/>
      <c r="K42" s="69">
        <v>6807990</v>
      </c>
      <c r="L42" s="69">
        <v>173580</v>
      </c>
      <c r="M42" s="69">
        <v>10064075</v>
      </c>
      <c r="N42" s="69">
        <v>11285</v>
      </c>
      <c r="O42" s="69">
        <v>10022923</v>
      </c>
      <c r="P42" s="69">
        <v>11285</v>
      </c>
      <c r="Q42" s="74">
        <f t="shared" si="0"/>
        <v>10011638</v>
      </c>
    </row>
    <row r="43" spans="1:17" ht="12.75">
      <c r="A43" s="394"/>
      <c r="B43" s="396"/>
      <c r="C43" s="68" t="s">
        <v>111</v>
      </c>
      <c r="D43" s="69">
        <v>119</v>
      </c>
      <c r="E43" s="69">
        <v>103</v>
      </c>
      <c r="F43" s="69">
        <v>14</v>
      </c>
      <c r="G43" s="69">
        <v>6999109</v>
      </c>
      <c r="H43" s="69">
        <v>6999109</v>
      </c>
      <c r="I43" s="69"/>
      <c r="J43" s="69"/>
      <c r="K43" s="69">
        <v>6807990</v>
      </c>
      <c r="L43" s="69">
        <v>191119</v>
      </c>
      <c r="M43" s="69">
        <v>9608829</v>
      </c>
      <c r="N43" s="69">
        <v>11285</v>
      </c>
      <c r="O43" s="69">
        <v>9630800</v>
      </c>
      <c r="P43" s="69">
        <v>0</v>
      </c>
      <c r="Q43" s="74">
        <f t="shared" si="0"/>
        <v>9630800</v>
      </c>
    </row>
    <row r="44" spans="1:17" ht="12.75">
      <c r="A44" s="393">
        <f>A42+1</f>
        <v>20</v>
      </c>
      <c r="B44" s="395" t="s">
        <v>27</v>
      </c>
      <c r="C44" s="68" t="s">
        <v>74</v>
      </c>
      <c r="D44" s="69">
        <v>58</v>
      </c>
      <c r="E44" s="69">
        <v>12</v>
      </c>
      <c r="F44" s="69">
        <v>12</v>
      </c>
      <c r="G44" s="69">
        <v>7180100</v>
      </c>
      <c r="H44" s="69">
        <v>6591200</v>
      </c>
      <c r="I44" s="69">
        <v>588900</v>
      </c>
      <c r="J44" s="69"/>
      <c r="K44" s="69">
        <v>6511000</v>
      </c>
      <c r="L44" s="69">
        <v>669100</v>
      </c>
      <c r="M44" s="69">
        <v>2321798</v>
      </c>
      <c r="N44" s="69">
        <v>28855</v>
      </c>
      <c r="O44" s="69">
        <v>2306800</v>
      </c>
      <c r="P44" s="69">
        <v>13857</v>
      </c>
      <c r="Q44" s="74">
        <f t="shared" si="0"/>
        <v>2292943</v>
      </c>
    </row>
    <row r="45" spans="1:17" ht="12.75">
      <c r="A45" s="394"/>
      <c r="B45" s="396"/>
      <c r="C45" s="68" t="s">
        <v>111</v>
      </c>
      <c r="D45" s="69">
        <v>62</v>
      </c>
      <c r="E45" s="69">
        <v>10</v>
      </c>
      <c r="F45" s="69">
        <v>9</v>
      </c>
      <c r="G45" s="69">
        <v>6869700</v>
      </c>
      <c r="H45" s="69">
        <v>6278258</v>
      </c>
      <c r="I45" s="69">
        <v>591442</v>
      </c>
      <c r="J45" s="69"/>
      <c r="K45" s="69">
        <v>6211000</v>
      </c>
      <c r="L45" s="69">
        <v>658700</v>
      </c>
      <c r="M45" s="69">
        <v>2322569</v>
      </c>
      <c r="N45" s="69">
        <v>28045</v>
      </c>
      <c r="O45" s="69">
        <v>842200</v>
      </c>
      <c r="P45" s="69">
        <v>0</v>
      </c>
      <c r="Q45" s="74">
        <f t="shared" si="0"/>
        <v>842200</v>
      </c>
    </row>
    <row r="46" spans="1:17" ht="12.75">
      <c r="A46" s="393">
        <f>A44+1</f>
        <v>21</v>
      </c>
      <c r="B46" s="395" t="s">
        <v>28</v>
      </c>
      <c r="C46" s="68" t="s">
        <v>74</v>
      </c>
      <c r="D46" s="69">
        <v>76</v>
      </c>
      <c r="E46" s="69">
        <v>8</v>
      </c>
      <c r="F46" s="69">
        <v>8</v>
      </c>
      <c r="G46" s="69">
        <v>261861</v>
      </c>
      <c r="H46" s="71">
        <v>8</v>
      </c>
      <c r="I46" s="71">
        <v>68</v>
      </c>
      <c r="J46" s="69"/>
      <c r="K46" s="69">
        <v>8023</v>
      </c>
      <c r="L46" s="69">
        <v>253838</v>
      </c>
      <c r="M46" s="69">
        <v>1516335</v>
      </c>
      <c r="N46" s="69">
        <v>30804</v>
      </c>
      <c r="O46" s="69">
        <v>1345000</v>
      </c>
      <c r="P46" s="69">
        <v>8884</v>
      </c>
      <c r="Q46" s="74">
        <f t="shared" si="0"/>
        <v>1336116</v>
      </c>
    </row>
    <row r="47" spans="1:17" ht="12.75">
      <c r="A47" s="394"/>
      <c r="B47" s="396"/>
      <c r="C47" s="68" t="s">
        <v>111</v>
      </c>
      <c r="D47" s="69">
        <v>70</v>
      </c>
      <c r="E47" s="69">
        <v>22</v>
      </c>
      <c r="F47" s="69">
        <v>22</v>
      </c>
      <c r="G47" s="69">
        <v>429004</v>
      </c>
      <c r="H47" s="71">
        <v>8</v>
      </c>
      <c r="I47" s="71">
        <v>62</v>
      </c>
      <c r="J47" s="69"/>
      <c r="K47" s="69">
        <v>6320</v>
      </c>
      <c r="L47" s="69">
        <v>422684</v>
      </c>
      <c r="M47" s="69">
        <v>627067</v>
      </c>
      <c r="N47" s="69">
        <v>26575</v>
      </c>
      <c r="O47" s="69">
        <v>557122</v>
      </c>
      <c r="P47" s="69">
        <v>0</v>
      </c>
      <c r="Q47" s="74">
        <f t="shared" si="0"/>
        <v>557122</v>
      </c>
    </row>
    <row r="48" spans="1:17" ht="12.75">
      <c r="A48" s="393">
        <f>A46+1</f>
        <v>22</v>
      </c>
      <c r="B48" s="395" t="s">
        <v>29</v>
      </c>
      <c r="C48" s="68" t="s">
        <v>74</v>
      </c>
      <c r="D48" s="69">
        <v>212</v>
      </c>
      <c r="E48" s="69">
        <v>187</v>
      </c>
      <c r="F48" s="69">
        <v>187</v>
      </c>
      <c r="G48" s="69">
        <v>148451135</v>
      </c>
      <c r="H48" s="69">
        <v>148451135</v>
      </c>
      <c r="I48" s="69"/>
      <c r="J48" s="69"/>
      <c r="K48" s="69">
        <v>147411154</v>
      </c>
      <c r="L48" s="69">
        <v>1039981</v>
      </c>
      <c r="M48" s="69">
        <v>4800000</v>
      </c>
      <c r="N48" s="69">
        <v>480000</v>
      </c>
      <c r="O48" s="69">
        <v>4673985</v>
      </c>
      <c r="P48" s="69">
        <v>480000</v>
      </c>
      <c r="Q48" s="74">
        <f t="shared" si="0"/>
        <v>4193985</v>
      </c>
    </row>
    <row r="49" spans="1:17" ht="12.75">
      <c r="A49" s="394"/>
      <c r="B49" s="396"/>
      <c r="C49" s="68" t="s">
        <v>111</v>
      </c>
      <c r="D49" s="69">
        <v>298</v>
      </c>
      <c r="E49" s="69">
        <v>258</v>
      </c>
      <c r="F49" s="69">
        <v>258</v>
      </c>
      <c r="G49" s="69">
        <v>148576592</v>
      </c>
      <c r="H49" s="69">
        <v>148576592</v>
      </c>
      <c r="I49" s="69"/>
      <c r="J49" s="69"/>
      <c r="K49" s="69">
        <v>146826192</v>
      </c>
      <c r="L49" s="69">
        <v>1750400</v>
      </c>
      <c r="M49" s="69">
        <v>5009000</v>
      </c>
      <c r="N49" s="69">
        <v>601100</v>
      </c>
      <c r="O49" s="69">
        <v>3008667</v>
      </c>
      <c r="P49" s="69">
        <v>361040</v>
      </c>
      <c r="Q49" s="74">
        <f t="shared" si="0"/>
        <v>2647627</v>
      </c>
    </row>
    <row r="50" spans="1:17" ht="12.75">
      <c r="A50" s="393">
        <f>A48+1</f>
        <v>23</v>
      </c>
      <c r="B50" s="395" t="s">
        <v>30</v>
      </c>
      <c r="C50" s="68" t="s">
        <v>74</v>
      </c>
      <c r="D50" s="69">
        <v>466</v>
      </c>
      <c r="E50" s="69">
        <v>344</v>
      </c>
      <c r="F50" s="69">
        <v>335</v>
      </c>
      <c r="G50" s="69">
        <v>321355717</v>
      </c>
      <c r="H50" s="69"/>
      <c r="I50" s="69"/>
      <c r="J50" s="69"/>
      <c r="K50" s="69">
        <v>314996460</v>
      </c>
      <c r="L50" s="69">
        <v>6359257</v>
      </c>
      <c r="M50" s="69">
        <v>10634322</v>
      </c>
      <c r="N50" s="69">
        <v>1989900</v>
      </c>
      <c r="O50" s="69">
        <v>7929355</v>
      </c>
      <c r="P50" s="69">
        <v>1009900</v>
      </c>
      <c r="Q50" s="74">
        <f t="shared" si="0"/>
        <v>6919455</v>
      </c>
    </row>
    <row r="51" spans="1:17" ht="12.75">
      <c r="A51" s="394"/>
      <c r="B51" s="396"/>
      <c r="C51" s="68" t="s">
        <v>111</v>
      </c>
      <c r="D51" s="69">
        <v>518</v>
      </c>
      <c r="E51" s="69">
        <v>379</v>
      </c>
      <c r="F51" s="69">
        <v>372</v>
      </c>
      <c r="G51" s="69">
        <v>327848220</v>
      </c>
      <c r="H51" s="69"/>
      <c r="I51" s="69"/>
      <c r="J51" s="69"/>
      <c r="K51" s="69">
        <v>320275211</v>
      </c>
      <c r="L51" s="69">
        <v>7573009</v>
      </c>
      <c r="M51" s="69">
        <v>5099845</v>
      </c>
      <c r="N51" s="69">
        <v>1102400</v>
      </c>
      <c r="O51" s="69">
        <v>5074847</v>
      </c>
      <c r="P51" s="69">
        <v>802400</v>
      </c>
      <c r="Q51" s="74">
        <f t="shared" si="0"/>
        <v>4272447</v>
      </c>
    </row>
    <row r="52" spans="1:17" ht="12.75">
      <c r="A52" s="393">
        <f>A50+1</f>
        <v>24</v>
      </c>
      <c r="B52" s="395" t="s">
        <v>31</v>
      </c>
      <c r="C52" s="68" t="s">
        <v>74</v>
      </c>
      <c r="D52" s="69">
        <v>83</v>
      </c>
      <c r="E52" s="69">
        <v>61</v>
      </c>
      <c r="F52" s="69">
        <v>61</v>
      </c>
      <c r="G52" s="69">
        <v>4877517</v>
      </c>
      <c r="H52" s="69">
        <v>4877517</v>
      </c>
      <c r="I52" s="69"/>
      <c r="J52" s="69"/>
      <c r="K52" s="69">
        <v>4543144</v>
      </c>
      <c r="L52" s="69">
        <v>334373</v>
      </c>
      <c r="M52" s="69">
        <v>2341679</v>
      </c>
      <c r="N52" s="69">
        <v>306000</v>
      </c>
      <c r="O52" s="69">
        <v>1833309</v>
      </c>
      <c r="P52" s="69">
        <v>282102</v>
      </c>
      <c r="Q52" s="74">
        <f t="shared" si="0"/>
        <v>1551207</v>
      </c>
    </row>
    <row r="53" spans="1:17" ht="12.75">
      <c r="A53" s="394"/>
      <c r="B53" s="396"/>
      <c r="C53" s="68" t="s">
        <v>111</v>
      </c>
      <c r="D53" s="69">
        <v>86</v>
      </c>
      <c r="E53" s="69">
        <v>49</v>
      </c>
      <c r="F53" s="69">
        <v>49</v>
      </c>
      <c r="G53" s="69">
        <v>5014234</v>
      </c>
      <c r="H53" s="69">
        <v>5014234</v>
      </c>
      <c r="I53" s="69"/>
      <c r="J53" s="69"/>
      <c r="K53" s="69">
        <v>4846398</v>
      </c>
      <c r="L53" s="69">
        <v>167836</v>
      </c>
      <c r="M53" s="69">
        <v>1781928</v>
      </c>
      <c r="N53" s="69">
        <v>310000</v>
      </c>
      <c r="O53" s="69">
        <v>733166</v>
      </c>
      <c r="P53" s="69">
        <v>8184</v>
      </c>
      <c r="Q53" s="74">
        <f t="shared" si="0"/>
        <v>724982</v>
      </c>
    </row>
    <row r="54" spans="1:17" ht="12.75">
      <c r="A54" s="393">
        <f>A52+1</f>
        <v>25</v>
      </c>
      <c r="B54" s="395" t="s">
        <v>32</v>
      </c>
      <c r="C54" s="68" t="s">
        <v>74</v>
      </c>
      <c r="D54" s="69">
        <v>206</v>
      </c>
      <c r="E54" s="69">
        <v>130</v>
      </c>
      <c r="F54" s="69">
        <v>115</v>
      </c>
      <c r="G54" s="69">
        <v>144290445</v>
      </c>
      <c r="H54" s="69">
        <v>144290445</v>
      </c>
      <c r="I54" s="69"/>
      <c r="J54" s="69"/>
      <c r="K54" s="69">
        <v>143445483</v>
      </c>
      <c r="L54" s="69">
        <v>844962</v>
      </c>
      <c r="M54" s="69">
        <v>1054727</v>
      </c>
      <c r="N54" s="69">
        <v>502101</v>
      </c>
      <c r="O54" s="69">
        <v>1619863</v>
      </c>
      <c r="P54" s="69">
        <v>819062</v>
      </c>
      <c r="Q54" s="74">
        <f t="shared" si="0"/>
        <v>800801</v>
      </c>
    </row>
    <row r="55" spans="1:17" ht="12.75">
      <c r="A55" s="394"/>
      <c r="B55" s="396"/>
      <c r="C55" s="68" t="s">
        <v>111</v>
      </c>
      <c r="D55" s="69">
        <v>214</v>
      </c>
      <c r="E55" s="69">
        <v>136</v>
      </c>
      <c r="F55" s="69">
        <v>116</v>
      </c>
      <c r="G55" s="69">
        <v>159263462</v>
      </c>
      <c r="H55" s="69">
        <v>159263462</v>
      </c>
      <c r="I55" s="69"/>
      <c r="J55" s="69"/>
      <c r="K55" s="69">
        <v>158416473</v>
      </c>
      <c r="L55" s="69">
        <v>846988</v>
      </c>
      <c r="M55" s="69">
        <v>841652</v>
      </c>
      <c r="N55" s="69">
        <v>526400</v>
      </c>
      <c r="O55" s="71">
        <v>235700</v>
      </c>
      <c r="P55" s="71">
        <v>137699</v>
      </c>
      <c r="Q55" s="74">
        <f t="shared" si="0"/>
        <v>98001</v>
      </c>
    </row>
    <row r="56" spans="1:17" ht="12.75">
      <c r="A56" s="393">
        <f>A54+1</f>
        <v>26</v>
      </c>
      <c r="B56" s="395" t="s">
        <v>33</v>
      </c>
      <c r="C56" s="68" t="s">
        <v>74</v>
      </c>
      <c r="D56" s="69">
        <v>297</v>
      </c>
      <c r="E56" s="69">
        <v>207</v>
      </c>
      <c r="F56" s="69">
        <v>207</v>
      </c>
      <c r="G56" s="69">
        <v>1885555546</v>
      </c>
      <c r="H56" s="69">
        <v>116238373</v>
      </c>
      <c r="I56" s="69"/>
      <c r="J56" s="69">
        <v>2317173</v>
      </c>
      <c r="K56" s="69">
        <v>116238324</v>
      </c>
      <c r="L56" s="69">
        <v>2317222</v>
      </c>
      <c r="M56" s="69">
        <v>5600000</v>
      </c>
      <c r="N56" s="69">
        <v>549451</v>
      </c>
      <c r="O56" s="69">
        <v>6728813</v>
      </c>
      <c r="P56" s="69">
        <v>539761</v>
      </c>
      <c r="Q56" s="74">
        <f t="shared" si="0"/>
        <v>6189052</v>
      </c>
    </row>
    <row r="57" spans="1:17" ht="12.75">
      <c r="A57" s="394"/>
      <c r="B57" s="396"/>
      <c r="C57" s="68" t="s">
        <v>111</v>
      </c>
      <c r="D57" s="69">
        <v>322</v>
      </c>
      <c r="E57" s="69">
        <v>223</v>
      </c>
      <c r="F57" s="69">
        <v>223</v>
      </c>
      <c r="G57" s="69">
        <v>120026892</v>
      </c>
      <c r="H57" s="69">
        <v>11750760</v>
      </c>
      <c r="I57" s="69"/>
      <c r="J57" s="69">
        <v>2519291</v>
      </c>
      <c r="K57" s="69">
        <v>117048629</v>
      </c>
      <c r="L57" s="69">
        <v>2978282</v>
      </c>
      <c r="M57" s="69">
        <v>2350000</v>
      </c>
      <c r="N57" s="69">
        <v>291985</v>
      </c>
      <c r="O57" s="69">
        <v>3146478</v>
      </c>
      <c r="P57" s="69">
        <v>82289</v>
      </c>
      <c r="Q57" s="74">
        <f t="shared" si="0"/>
        <v>3064189</v>
      </c>
    </row>
    <row r="58" spans="1:17" ht="12.75">
      <c r="A58" s="393">
        <f>A56+1</f>
        <v>27</v>
      </c>
      <c r="B58" s="395" t="s">
        <v>34</v>
      </c>
      <c r="C58" s="68" t="s">
        <v>74</v>
      </c>
      <c r="D58" s="69">
        <v>82</v>
      </c>
      <c r="E58" s="69">
        <v>8</v>
      </c>
      <c r="F58" s="69">
        <v>8</v>
      </c>
      <c r="G58" s="69">
        <v>14116859</v>
      </c>
      <c r="H58" s="69">
        <v>14116859</v>
      </c>
      <c r="I58" s="69"/>
      <c r="J58" s="69"/>
      <c r="K58" s="69">
        <v>5241862</v>
      </c>
      <c r="L58" s="69">
        <v>8874997</v>
      </c>
      <c r="M58" s="69">
        <v>7990694</v>
      </c>
      <c r="N58" s="69">
        <v>2990000</v>
      </c>
      <c r="O58" s="69">
        <v>7962166.51</v>
      </c>
      <c r="P58" s="69">
        <v>7940694</v>
      </c>
      <c r="Q58" s="74">
        <f t="shared" si="0"/>
        <v>21472.509999999776</v>
      </c>
    </row>
    <row r="59" spans="1:17" ht="12.75">
      <c r="A59" s="394"/>
      <c r="B59" s="396"/>
      <c r="C59" s="68" t="s">
        <v>111</v>
      </c>
      <c r="D59" s="69">
        <v>108</v>
      </c>
      <c r="E59" s="69">
        <v>47</v>
      </c>
      <c r="F59" s="69">
        <v>0</v>
      </c>
      <c r="G59" s="69">
        <v>7940559</v>
      </c>
      <c r="H59" s="69">
        <v>7940559</v>
      </c>
      <c r="I59" s="69"/>
      <c r="J59" s="69"/>
      <c r="K59" s="69">
        <v>7382565</v>
      </c>
      <c r="L59" s="69">
        <v>557994</v>
      </c>
      <c r="M59" s="69">
        <v>2244148</v>
      </c>
      <c r="N59" s="69">
        <v>170000</v>
      </c>
      <c r="O59" s="69">
        <v>1314799</v>
      </c>
      <c r="P59" s="69">
        <v>362879</v>
      </c>
      <c r="Q59" s="74">
        <f t="shared" si="0"/>
        <v>951920</v>
      </c>
    </row>
    <row r="60" spans="1:17" ht="12.75">
      <c r="A60" s="393">
        <f>A58+1</f>
        <v>28</v>
      </c>
      <c r="B60" s="395" t="s">
        <v>35</v>
      </c>
      <c r="C60" s="68" t="s">
        <v>74</v>
      </c>
      <c r="D60" s="69">
        <v>257</v>
      </c>
      <c r="E60" s="69">
        <v>48</v>
      </c>
      <c r="F60" s="69">
        <v>48</v>
      </c>
      <c r="G60" s="69">
        <v>178544546</v>
      </c>
      <c r="H60" s="69">
        <v>178544546</v>
      </c>
      <c r="I60" s="69"/>
      <c r="J60" s="69"/>
      <c r="K60" s="69">
        <v>173267140</v>
      </c>
      <c r="L60" s="69">
        <v>5277406</v>
      </c>
      <c r="M60" s="69">
        <v>8241183</v>
      </c>
      <c r="N60" s="69">
        <v>6565220</v>
      </c>
      <c r="O60" s="69">
        <v>12112358</v>
      </c>
      <c r="P60" s="69">
        <v>10471044</v>
      </c>
      <c r="Q60" s="74">
        <f t="shared" si="0"/>
        <v>1641314</v>
      </c>
    </row>
    <row r="61" spans="1:17" ht="12.75">
      <c r="A61" s="394"/>
      <c r="B61" s="396"/>
      <c r="C61" s="68" t="s">
        <v>111</v>
      </c>
      <c r="D61" s="69">
        <v>285</v>
      </c>
      <c r="E61" s="69">
        <v>59</v>
      </c>
      <c r="F61" s="69">
        <v>59</v>
      </c>
      <c r="G61" s="69">
        <v>171137377</v>
      </c>
      <c r="H61" s="69">
        <v>171137377</v>
      </c>
      <c r="I61" s="69"/>
      <c r="J61" s="69"/>
      <c r="K61" s="69">
        <v>165859971</v>
      </c>
      <c r="L61" s="69">
        <v>5277406</v>
      </c>
      <c r="M61" s="69">
        <v>7234523</v>
      </c>
      <c r="N61" s="69">
        <v>5891433</v>
      </c>
      <c r="O61" s="69">
        <v>5947684</v>
      </c>
      <c r="P61" s="69">
        <v>5062697</v>
      </c>
      <c r="Q61" s="74">
        <f t="shared" si="0"/>
        <v>884987</v>
      </c>
    </row>
    <row r="62" spans="1:17" ht="12.75">
      <c r="A62" s="393">
        <f>A60+1</f>
        <v>29</v>
      </c>
      <c r="B62" s="395" t="s">
        <v>36</v>
      </c>
      <c r="C62" s="68" t="s">
        <v>74</v>
      </c>
      <c r="D62" s="69">
        <v>187</v>
      </c>
      <c r="E62" s="69">
        <v>174</v>
      </c>
      <c r="F62" s="69">
        <v>69</v>
      </c>
      <c r="G62" s="69">
        <v>93443654</v>
      </c>
      <c r="H62" s="69">
        <v>92728653</v>
      </c>
      <c r="I62" s="69"/>
      <c r="J62" s="69">
        <v>715001</v>
      </c>
      <c r="K62" s="69">
        <v>92728653</v>
      </c>
      <c r="L62" s="69">
        <v>715001</v>
      </c>
      <c r="M62" s="69">
        <v>1896391</v>
      </c>
      <c r="N62" s="69">
        <v>400647</v>
      </c>
      <c r="O62" s="69">
        <v>2535657</v>
      </c>
      <c r="P62" s="69">
        <v>58759</v>
      </c>
      <c r="Q62" s="74">
        <f t="shared" si="0"/>
        <v>2476898</v>
      </c>
    </row>
    <row r="63" spans="1:17" ht="12.75">
      <c r="A63" s="394"/>
      <c r="B63" s="396"/>
      <c r="C63" s="68" t="s">
        <v>111</v>
      </c>
      <c r="D63" s="69">
        <v>207</v>
      </c>
      <c r="E63" s="69">
        <v>197</v>
      </c>
      <c r="F63" s="69">
        <v>95</v>
      </c>
      <c r="G63" s="69">
        <v>91968103</v>
      </c>
      <c r="H63" s="69">
        <v>91131700</v>
      </c>
      <c r="I63" s="69"/>
      <c r="J63" s="69">
        <v>836403</v>
      </c>
      <c r="K63" s="69">
        <v>91131700</v>
      </c>
      <c r="L63" s="69">
        <v>836403</v>
      </c>
      <c r="M63" s="69">
        <v>1905291</v>
      </c>
      <c r="N63" s="69">
        <v>346632</v>
      </c>
      <c r="O63" s="69">
        <v>547208</v>
      </c>
      <c r="P63" s="69">
        <v>51668</v>
      </c>
      <c r="Q63" s="74">
        <f t="shared" si="0"/>
        <v>495540</v>
      </c>
    </row>
    <row r="64" spans="1:17" ht="12.75">
      <c r="A64" s="393">
        <f>A62+1</f>
        <v>30</v>
      </c>
      <c r="B64" s="395" t="s">
        <v>37</v>
      </c>
      <c r="C64" s="68" t="s">
        <v>74</v>
      </c>
      <c r="D64" s="69">
        <v>664</v>
      </c>
      <c r="E64" s="69">
        <v>24</v>
      </c>
      <c r="F64" s="69">
        <v>24</v>
      </c>
      <c r="G64" s="69">
        <v>192740400</v>
      </c>
      <c r="H64" s="69">
        <v>192740400</v>
      </c>
      <c r="I64" s="69"/>
      <c r="J64" s="69"/>
      <c r="K64" s="69">
        <v>192324452</v>
      </c>
      <c r="L64" s="69">
        <v>415948</v>
      </c>
      <c r="M64" s="69">
        <v>1717600</v>
      </c>
      <c r="N64" s="69">
        <v>772100</v>
      </c>
      <c r="O64" s="69">
        <v>1717600</v>
      </c>
      <c r="P64" s="69">
        <v>772100</v>
      </c>
      <c r="Q64" s="74">
        <f t="shared" si="0"/>
        <v>945500</v>
      </c>
    </row>
    <row r="65" spans="1:17" ht="12.75">
      <c r="A65" s="394"/>
      <c r="B65" s="396"/>
      <c r="C65" s="68" t="s">
        <v>111</v>
      </c>
      <c r="D65" s="69">
        <v>441</v>
      </c>
      <c r="E65" s="69">
        <v>37</v>
      </c>
      <c r="F65" s="69">
        <v>37</v>
      </c>
      <c r="G65" s="69">
        <v>180505100</v>
      </c>
      <c r="H65" s="69">
        <v>180505100</v>
      </c>
      <c r="I65" s="69"/>
      <c r="J65" s="69"/>
      <c r="K65" s="69">
        <v>180197637</v>
      </c>
      <c r="L65" s="69">
        <v>307463</v>
      </c>
      <c r="M65" s="69">
        <v>1234925</v>
      </c>
      <c r="N65" s="69">
        <v>748350</v>
      </c>
      <c r="O65" s="69">
        <v>737400</v>
      </c>
      <c r="P65" s="69">
        <v>285800</v>
      </c>
      <c r="Q65" s="74">
        <f t="shared" si="0"/>
        <v>451600</v>
      </c>
    </row>
    <row r="66" spans="1:17" ht="12.75">
      <c r="A66" s="393">
        <f>A64+1</f>
        <v>31</v>
      </c>
      <c r="B66" s="395" t="s">
        <v>38</v>
      </c>
      <c r="C66" s="68" t="s">
        <v>74</v>
      </c>
      <c r="D66" s="69">
        <v>263</v>
      </c>
      <c r="E66" s="69">
        <v>29</v>
      </c>
      <c r="F66" s="69">
        <v>8</v>
      </c>
      <c r="G66" s="69">
        <v>20714936</v>
      </c>
      <c r="H66" s="69">
        <v>20714936</v>
      </c>
      <c r="I66" s="69"/>
      <c r="J66" s="69"/>
      <c r="K66" s="69">
        <v>17581829</v>
      </c>
      <c r="L66" s="69">
        <v>15510393</v>
      </c>
      <c r="M66" s="69">
        <v>20001225</v>
      </c>
      <c r="N66" s="69">
        <v>116206</v>
      </c>
      <c r="O66" s="69">
        <v>18005473</v>
      </c>
      <c r="P66" s="69">
        <v>116206</v>
      </c>
      <c r="Q66" s="74">
        <f t="shared" si="0"/>
        <v>17889267</v>
      </c>
    </row>
    <row r="67" spans="1:17" ht="12.75">
      <c r="A67" s="394"/>
      <c r="B67" s="396"/>
      <c r="C67" s="68" t="s">
        <v>111</v>
      </c>
      <c r="D67" s="69">
        <v>261</v>
      </c>
      <c r="E67" s="69">
        <v>56</v>
      </c>
      <c r="F67" s="69">
        <v>12</v>
      </c>
      <c r="G67" s="69">
        <v>26667978</v>
      </c>
      <c r="H67" s="69">
        <v>26667978</v>
      </c>
      <c r="I67" s="69"/>
      <c r="J67" s="69"/>
      <c r="K67" s="69">
        <v>21178929</v>
      </c>
      <c r="L67" s="69">
        <v>5489050</v>
      </c>
      <c r="M67" s="72">
        <v>14600608</v>
      </c>
      <c r="N67" s="72">
        <v>58103</v>
      </c>
      <c r="O67" s="69">
        <v>1173417</v>
      </c>
      <c r="P67" s="69">
        <v>58103</v>
      </c>
      <c r="Q67" s="74">
        <f t="shared" si="0"/>
        <v>1115314</v>
      </c>
    </row>
    <row r="68" spans="1:17" ht="12.75">
      <c r="A68" s="393">
        <f>A66+1</f>
        <v>32</v>
      </c>
      <c r="B68" s="395" t="s">
        <v>39</v>
      </c>
      <c r="C68" s="68" t="s">
        <v>74</v>
      </c>
      <c r="D68" s="69">
        <v>252</v>
      </c>
      <c r="E68" s="69">
        <v>171</v>
      </c>
      <c r="F68" s="69">
        <v>159</v>
      </c>
      <c r="G68" s="69">
        <v>808864</v>
      </c>
      <c r="H68" s="69">
        <v>808864</v>
      </c>
      <c r="I68" s="69"/>
      <c r="J68" s="69"/>
      <c r="K68" s="69">
        <v>174738</v>
      </c>
      <c r="L68" s="69">
        <v>634126</v>
      </c>
      <c r="M68" s="69">
        <v>6500000</v>
      </c>
      <c r="N68" s="69">
        <v>204300</v>
      </c>
      <c r="O68" s="69">
        <v>7150000</v>
      </c>
      <c r="P68" s="69">
        <v>206500</v>
      </c>
      <c r="Q68" s="74">
        <f t="shared" si="0"/>
        <v>6943500</v>
      </c>
    </row>
    <row r="69" spans="1:17" ht="12.75">
      <c r="A69" s="394"/>
      <c r="B69" s="396"/>
      <c r="C69" s="68" t="s">
        <v>111</v>
      </c>
      <c r="D69" s="69">
        <v>273</v>
      </c>
      <c r="E69" s="69">
        <v>180</v>
      </c>
      <c r="F69" s="69">
        <v>168</v>
      </c>
      <c r="G69" s="69">
        <v>840242</v>
      </c>
      <c r="H69" s="69">
        <v>840242</v>
      </c>
      <c r="I69" s="69"/>
      <c r="J69" s="69"/>
      <c r="K69" s="69">
        <v>175340</v>
      </c>
      <c r="L69" s="69">
        <v>664902</v>
      </c>
      <c r="M69" s="69">
        <v>3100000</v>
      </c>
      <c r="N69" s="69">
        <v>195000</v>
      </c>
      <c r="O69" s="69">
        <v>3052000</v>
      </c>
      <c r="P69" s="69">
        <v>190000</v>
      </c>
      <c r="Q69" s="74">
        <f t="shared" si="0"/>
        <v>2862000</v>
      </c>
    </row>
    <row r="70" spans="1:17" ht="12.75">
      <c r="A70" s="393">
        <f>A68+1</f>
        <v>33</v>
      </c>
      <c r="B70" s="395" t="s">
        <v>40</v>
      </c>
      <c r="C70" s="68" t="s">
        <v>74</v>
      </c>
      <c r="D70" s="69">
        <v>303</v>
      </c>
      <c r="E70" s="69">
        <v>225</v>
      </c>
      <c r="F70" s="69">
        <v>225</v>
      </c>
      <c r="G70" s="69">
        <v>52275164</v>
      </c>
      <c r="H70" s="69">
        <v>52275164</v>
      </c>
      <c r="I70" s="69"/>
      <c r="J70" s="69"/>
      <c r="K70" s="69">
        <v>51795127</v>
      </c>
      <c r="L70" s="69">
        <v>480037</v>
      </c>
      <c r="M70" s="69">
        <v>11799387</v>
      </c>
      <c r="N70" s="69">
        <v>1771350</v>
      </c>
      <c r="O70" s="69">
        <v>11864121</v>
      </c>
      <c r="P70" s="69">
        <v>1062434</v>
      </c>
      <c r="Q70" s="74">
        <f t="shared" si="0"/>
        <v>10801687</v>
      </c>
    </row>
    <row r="71" spans="1:17" ht="12.75">
      <c r="A71" s="394"/>
      <c r="B71" s="396"/>
      <c r="C71" s="68" t="s">
        <v>111</v>
      </c>
      <c r="D71" s="69">
        <v>336</v>
      </c>
      <c r="E71" s="69">
        <v>255</v>
      </c>
      <c r="F71" s="69">
        <v>251</v>
      </c>
      <c r="G71" s="69">
        <v>49934313</v>
      </c>
      <c r="H71" s="69">
        <v>49934313</v>
      </c>
      <c r="I71" s="69"/>
      <c r="J71" s="69"/>
      <c r="K71" s="69">
        <v>49454096</v>
      </c>
      <c r="L71" s="69">
        <v>480217</v>
      </c>
      <c r="M71" s="69">
        <v>11989003</v>
      </c>
      <c r="N71" s="69">
        <v>5299550</v>
      </c>
      <c r="O71" s="69">
        <v>8524165</v>
      </c>
      <c r="P71" s="69">
        <v>2084667</v>
      </c>
      <c r="Q71" s="74">
        <f t="shared" si="0"/>
        <v>6439498</v>
      </c>
    </row>
    <row r="72" spans="1:17" ht="12.75">
      <c r="A72" s="393">
        <f>A70+1</f>
        <v>34</v>
      </c>
      <c r="B72" s="395" t="s">
        <v>41</v>
      </c>
      <c r="C72" s="68" t="s">
        <v>74</v>
      </c>
      <c r="D72" s="69">
        <v>131</v>
      </c>
      <c r="E72" s="69">
        <v>0</v>
      </c>
      <c r="F72" s="69">
        <v>0</v>
      </c>
      <c r="G72" s="69">
        <v>8927700</v>
      </c>
      <c r="H72" s="69">
        <v>8860091</v>
      </c>
      <c r="I72" s="69">
        <v>67609</v>
      </c>
      <c r="J72" s="69"/>
      <c r="K72" s="69">
        <v>8860091</v>
      </c>
      <c r="L72" s="69">
        <v>67609</v>
      </c>
      <c r="M72" s="69">
        <v>955321</v>
      </c>
      <c r="N72" s="69">
        <v>422521</v>
      </c>
      <c r="O72" s="69">
        <v>906340</v>
      </c>
      <c r="P72" s="69">
        <v>424000</v>
      </c>
      <c r="Q72" s="74">
        <f t="shared" si="0"/>
        <v>482340</v>
      </c>
    </row>
    <row r="73" spans="1:17" ht="12.75">
      <c r="A73" s="394"/>
      <c r="B73" s="396"/>
      <c r="C73" s="68" t="s">
        <v>111</v>
      </c>
      <c r="D73" s="69">
        <v>46</v>
      </c>
      <c r="E73" s="69">
        <v>3</v>
      </c>
      <c r="F73" s="69">
        <v>3</v>
      </c>
      <c r="G73" s="69">
        <v>673741</v>
      </c>
      <c r="H73" s="69">
        <v>600000</v>
      </c>
      <c r="I73" s="69">
        <v>73741</v>
      </c>
      <c r="J73" s="69"/>
      <c r="K73" s="69">
        <v>600000</v>
      </c>
      <c r="L73" s="69">
        <v>73741</v>
      </c>
      <c r="M73" s="69">
        <v>432028</v>
      </c>
      <c r="N73" s="69">
        <v>1353</v>
      </c>
      <c r="O73" s="69">
        <v>413815</v>
      </c>
      <c r="P73" s="69">
        <v>0</v>
      </c>
      <c r="Q73" s="74">
        <f t="shared" si="0"/>
        <v>413815</v>
      </c>
    </row>
    <row r="74" spans="1:17" ht="12.75">
      <c r="A74" s="393">
        <f>A72+1</f>
        <v>35</v>
      </c>
      <c r="B74" s="395" t="s">
        <v>42</v>
      </c>
      <c r="C74" s="68" t="s">
        <v>74</v>
      </c>
      <c r="D74" s="69">
        <v>53</v>
      </c>
      <c r="E74" s="69">
        <v>37</v>
      </c>
      <c r="F74" s="69">
        <v>37</v>
      </c>
      <c r="G74" s="69">
        <v>12021787</v>
      </c>
      <c r="H74" s="69">
        <v>12021787</v>
      </c>
      <c r="I74" s="69"/>
      <c r="J74" s="69"/>
      <c r="K74" s="69">
        <v>11701000</v>
      </c>
      <c r="L74" s="69">
        <v>320787</v>
      </c>
      <c r="M74" s="69">
        <v>994175</v>
      </c>
      <c r="N74" s="69">
        <v>81840</v>
      </c>
      <c r="O74" s="69">
        <v>841431</v>
      </c>
      <c r="P74" s="69">
        <v>81840</v>
      </c>
      <c r="Q74" s="74">
        <f t="shared" si="0"/>
        <v>759591</v>
      </c>
    </row>
    <row r="75" spans="1:17" ht="12.75">
      <c r="A75" s="394"/>
      <c r="B75" s="396"/>
      <c r="C75" s="68" t="s">
        <v>111</v>
      </c>
      <c r="D75" s="69">
        <v>59</v>
      </c>
      <c r="E75" s="69">
        <v>38</v>
      </c>
      <c r="F75" s="69">
        <v>38</v>
      </c>
      <c r="G75" s="69">
        <v>50534441</v>
      </c>
      <c r="H75" s="69">
        <v>50534441</v>
      </c>
      <c r="I75" s="69"/>
      <c r="J75" s="69"/>
      <c r="K75" s="69">
        <v>50257000</v>
      </c>
      <c r="L75" s="69">
        <v>277441</v>
      </c>
      <c r="M75" s="69">
        <v>715296</v>
      </c>
      <c r="N75" s="69">
        <v>4145537</v>
      </c>
      <c r="O75" s="69">
        <v>141663</v>
      </c>
      <c r="P75" s="69">
        <v>0</v>
      </c>
      <c r="Q75" s="74">
        <f t="shared" si="0"/>
        <v>141663</v>
      </c>
    </row>
    <row r="76" spans="1:17" ht="12.75">
      <c r="A76" s="393">
        <f>A74+1</f>
        <v>36</v>
      </c>
      <c r="B76" s="395" t="s">
        <v>43</v>
      </c>
      <c r="C76" s="68" t="s">
        <v>74</v>
      </c>
      <c r="D76" s="69">
        <v>132</v>
      </c>
      <c r="E76" s="69">
        <v>51</v>
      </c>
      <c r="F76" s="69">
        <v>51</v>
      </c>
      <c r="G76" s="69">
        <v>361471</v>
      </c>
      <c r="H76" s="69">
        <v>361471</v>
      </c>
      <c r="I76" s="69"/>
      <c r="J76" s="69"/>
      <c r="K76" s="17">
        <v>129415</v>
      </c>
      <c r="L76" s="17">
        <v>232056</v>
      </c>
      <c r="M76" s="69">
        <v>538763</v>
      </c>
      <c r="N76" s="69">
        <v>18682</v>
      </c>
      <c r="O76" s="69">
        <v>467508</v>
      </c>
      <c r="P76" s="69">
        <v>18598</v>
      </c>
      <c r="Q76" s="74">
        <f t="shared" si="0"/>
        <v>448910</v>
      </c>
    </row>
    <row r="77" spans="1:17" ht="12.75">
      <c r="A77" s="394"/>
      <c r="B77" s="396"/>
      <c r="C77" s="68" t="s">
        <v>111</v>
      </c>
      <c r="D77" s="69">
        <v>101</v>
      </c>
      <c r="E77" s="69">
        <v>53</v>
      </c>
      <c r="F77" s="69">
        <v>53</v>
      </c>
      <c r="G77" s="69">
        <v>1367706</v>
      </c>
      <c r="H77" s="69">
        <v>1367706</v>
      </c>
      <c r="I77" s="69"/>
      <c r="J77" s="69"/>
      <c r="K77" s="17">
        <v>362293</v>
      </c>
      <c r="L77" s="17">
        <v>1005413</v>
      </c>
      <c r="M77" s="69">
        <v>2633011</v>
      </c>
      <c r="N77" s="69">
        <v>2181234</v>
      </c>
      <c r="O77" s="69">
        <v>1470648</v>
      </c>
      <c r="P77" s="69">
        <v>1091130</v>
      </c>
      <c r="Q77" s="74">
        <f t="shared" si="0"/>
        <v>379518</v>
      </c>
    </row>
    <row r="78" spans="1:17" ht="12.75">
      <c r="A78" s="393">
        <f>A76+1</f>
        <v>37</v>
      </c>
      <c r="B78" s="395" t="s">
        <v>44</v>
      </c>
      <c r="C78" s="68" t="s">
        <v>74</v>
      </c>
      <c r="D78" s="69">
        <v>59</v>
      </c>
      <c r="E78" s="69">
        <v>26</v>
      </c>
      <c r="F78" s="69">
        <v>26</v>
      </c>
      <c r="G78" s="69">
        <v>5251622</v>
      </c>
      <c r="H78" s="69">
        <v>5251622</v>
      </c>
      <c r="I78" s="69"/>
      <c r="J78" s="69"/>
      <c r="K78" s="69">
        <v>4204533</v>
      </c>
      <c r="L78" s="69">
        <v>1047089</v>
      </c>
      <c r="M78" s="69">
        <v>3520391</v>
      </c>
      <c r="N78" s="69">
        <v>71089</v>
      </c>
      <c r="O78" s="69">
        <v>2132994</v>
      </c>
      <c r="P78" s="69">
        <v>37545</v>
      </c>
      <c r="Q78" s="74">
        <f t="shared" si="0"/>
        <v>2095449</v>
      </c>
    </row>
    <row r="79" spans="1:17" ht="12.75">
      <c r="A79" s="394"/>
      <c r="B79" s="396"/>
      <c r="C79" s="68" t="s">
        <v>111</v>
      </c>
      <c r="D79" s="69">
        <v>74</v>
      </c>
      <c r="E79" s="69">
        <v>31</v>
      </c>
      <c r="F79" s="69">
        <v>31</v>
      </c>
      <c r="G79" s="69">
        <v>6002622</v>
      </c>
      <c r="H79" s="69">
        <v>6002622</v>
      </c>
      <c r="I79" s="69"/>
      <c r="J79" s="69"/>
      <c r="K79" s="69">
        <v>4207533</v>
      </c>
      <c r="L79" s="69">
        <v>1795089</v>
      </c>
      <c r="M79" s="69">
        <v>2080035</v>
      </c>
      <c r="N79" s="69">
        <v>206646</v>
      </c>
      <c r="O79" s="69">
        <v>1685852</v>
      </c>
      <c r="P79" s="69">
        <v>82748</v>
      </c>
      <c r="Q79" s="74">
        <f t="shared" si="0"/>
        <v>1603104</v>
      </c>
    </row>
    <row r="80" spans="2:16" ht="15">
      <c r="B80" s="73"/>
      <c r="D80" s="74">
        <f aca="true" t="shared" si="1" ref="D80:O80">SUM(D6:D79)</f>
        <v>38651</v>
      </c>
      <c r="E80" s="74">
        <f t="shared" si="1"/>
        <v>29328</v>
      </c>
      <c r="F80" s="74">
        <f t="shared" si="1"/>
        <v>13466</v>
      </c>
      <c r="G80" s="74">
        <f t="shared" si="1"/>
        <v>5923845138</v>
      </c>
      <c r="H80" s="74">
        <f t="shared" si="1"/>
        <v>3384954202</v>
      </c>
      <c r="I80" s="74">
        <f t="shared" si="1"/>
        <v>1613179</v>
      </c>
      <c r="J80" s="74">
        <f t="shared" si="1"/>
        <v>6387868</v>
      </c>
      <c r="K80" s="74">
        <f t="shared" si="1"/>
        <v>4257890483</v>
      </c>
      <c r="L80" s="74">
        <f t="shared" si="1"/>
        <v>196485093</v>
      </c>
      <c r="M80" s="74">
        <f t="shared" si="1"/>
        <v>2047036822</v>
      </c>
      <c r="N80" s="74">
        <f t="shared" si="1"/>
        <v>47295892</v>
      </c>
      <c r="O80" s="74">
        <f t="shared" si="1"/>
        <v>1935286132.51</v>
      </c>
      <c r="P80" s="74">
        <f>SUM(P6:P79)</f>
        <v>41136988</v>
      </c>
    </row>
  </sheetData>
  <sheetProtection/>
  <mergeCells count="86">
    <mergeCell ref="A78:A79"/>
    <mergeCell ref="B78:B79"/>
    <mergeCell ref="A74:A75"/>
    <mergeCell ref="B74:B75"/>
    <mergeCell ref="A76:A77"/>
    <mergeCell ref="B76:B77"/>
    <mergeCell ref="A66:A67"/>
    <mergeCell ref="B66:B67"/>
    <mergeCell ref="A68:A69"/>
    <mergeCell ref="B68:B69"/>
    <mergeCell ref="A70:A71"/>
    <mergeCell ref="B70:B71"/>
    <mergeCell ref="A72:A73"/>
    <mergeCell ref="B72:B73"/>
    <mergeCell ref="A58:A59"/>
    <mergeCell ref="B58:B59"/>
    <mergeCell ref="A60:A61"/>
    <mergeCell ref="B60:B61"/>
    <mergeCell ref="A62:A63"/>
    <mergeCell ref="B62:B63"/>
    <mergeCell ref="A64:A65"/>
    <mergeCell ref="B64:B65"/>
    <mergeCell ref="A50:A51"/>
    <mergeCell ref="B50:B51"/>
    <mergeCell ref="A52:A53"/>
    <mergeCell ref="B52:B53"/>
    <mergeCell ref="A54:A55"/>
    <mergeCell ref="B54:B55"/>
    <mergeCell ref="A56:A57"/>
    <mergeCell ref="B56:B57"/>
    <mergeCell ref="A42:A43"/>
    <mergeCell ref="B42:B43"/>
    <mergeCell ref="A44:A45"/>
    <mergeCell ref="B44:B45"/>
    <mergeCell ref="A46:A47"/>
    <mergeCell ref="B46:B47"/>
    <mergeCell ref="A48:A49"/>
    <mergeCell ref="B48:B49"/>
    <mergeCell ref="A34:A35"/>
    <mergeCell ref="B34:B35"/>
    <mergeCell ref="A36:A37"/>
    <mergeCell ref="B36:B37"/>
    <mergeCell ref="A38:A39"/>
    <mergeCell ref="B38:B39"/>
    <mergeCell ref="A40:A41"/>
    <mergeCell ref="B40:B41"/>
    <mergeCell ref="A26:A27"/>
    <mergeCell ref="B26:B27"/>
    <mergeCell ref="A28:A29"/>
    <mergeCell ref="B28:B29"/>
    <mergeCell ref="A30:A31"/>
    <mergeCell ref="B30:B31"/>
    <mergeCell ref="A32:A33"/>
    <mergeCell ref="B32:B33"/>
    <mergeCell ref="A18:A19"/>
    <mergeCell ref="B18:B19"/>
    <mergeCell ref="A20:A21"/>
    <mergeCell ref="B20:B21"/>
    <mergeCell ref="A22:A23"/>
    <mergeCell ref="B22:B23"/>
    <mergeCell ref="A24:A25"/>
    <mergeCell ref="B24:B25"/>
    <mergeCell ref="A10:A11"/>
    <mergeCell ref="B10:B11"/>
    <mergeCell ref="A12:A13"/>
    <mergeCell ref="B12:B13"/>
    <mergeCell ref="A14:A15"/>
    <mergeCell ref="B14:B15"/>
    <mergeCell ref="A16:A17"/>
    <mergeCell ref="B16:B17"/>
    <mergeCell ref="F2:F4"/>
    <mergeCell ref="G2:J2"/>
    <mergeCell ref="A2:A4"/>
    <mergeCell ref="B2:B4"/>
    <mergeCell ref="C2:C4"/>
    <mergeCell ref="D2:E3"/>
    <mergeCell ref="A6:A7"/>
    <mergeCell ref="B6:B7"/>
    <mergeCell ref="A8:A9"/>
    <mergeCell ref="B8:B9"/>
    <mergeCell ref="K2:L3"/>
    <mergeCell ref="M2:P2"/>
    <mergeCell ref="G3:G4"/>
    <mergeCell ref="H3:J3"/>
    <mergeCell ref="M3:N3"/>
    <mergeCell ref="O3:P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50"/>
  <sheetViews>
    <sheetView zoomScalePageLayoutView="0" workbookViewId="0" topLeftCell="A1">
      <pane xSplit="1" ySplit="7" topLeftCell="B17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D24" sqref="D24"/>
    </sheetView>
  </sheetViews>
  <sheetFormatPr defaultColWidth="9.00390625" defaultRowHeight="12.75"/>
  <cols>
    <col min="1" max="1" width="26.00390625" style="10" customWidth="1"/>
    <col min="2" max="2" width="3.25390625" style="10" customWidth="1"/>
    <col min="3" max="3" width="11.625" style="10" customWidth="1"/>
    <col min="4" max="4" width="12.375" style="10" customWidth="1"/>
    <col min="5" max="5" width="14.125" style="10" customWidth="1"/>
    <col min="6" max="6" width="11.25390625" style="10" customWidth="1"/>
    <col min="7" max="7" width="11.75390625" style="10" customWidth="1"/>
    <col min="8" max="8" width="11.375" style="10" customWidth="1"/>
    <col min="9" max="9" width="13.25390625" style="10" customWidth="1"/>
    <col min="10" max="10" width="17.25390625" style="10" customWidth="1"/>
    <col min="11" max="11" width="10.875" style="10" customWidth="1"/>
    <col min="12" max="12" width="14.875" style="10" customWidth="1"/>
    <col min="13" max="16384" width="9.125" style="10" customWidth="1"/>
  </cols>
  <sheetData>
    <row r="1" ht="12.75">
      <c r="L1" s="223"/>
    </row>
    <row r="2" ht="12.75">
      <c r="L2" s="223"/>
    </row>
    <row r="3" spans="5:12" ht="12.75">
      <c r="E3" s="343"/>
      <c r="L3" s="223"/>
    </row>
    <row r="5" spans="1:12" ht="37.5" customHeight="1">
      <c r="A5" s="225"/>
      <c r="B5" s="400" t="s">
        <v>204</v>
      </c>
      <c r="C5" s="401"/>
      <c r="D5" s="401"/>
      <c r="E5" s="401"/>
      <c r="F5" s="401"/>
      <c r="G5" s="401"/>
      <c r="H5" s="401"/>
      <c r="I5" s="401"/>
      <c r="J5" s="401"/>
      <c r="K5" s="401"/>
      <c r="L5" s="226"/>
    </row>
    <row r="6" spans="1:12" ht="15">
      <c r="A6" s="211"/>
      <c r="B6" s="219"/>
      <c r="C6" s="212"/>
      <c r="D6" s="219"/>
      <c r="E6" s="219"/>
      <c r="F6" s="219"/>
      <c r="G6" s="219"/>
      <c r="H6" s="212"/>
      <c r="I6" s="212"/>
      <c r="J6" s="212"/>
      <c r="K6" s="219"/>
      <c r="L6" s="212"/>
    </row>
    <row r="7" spans="1:12" s="13" customFormat="1" ht="90.75" customHeight="1">
      <c r="A7" s="12"/>
      <c r="B7" s="265"/>
      <c r="C7" s="12" t="s">
        <v>215</v>
      </c>
      <c r="D7" s="265" t="s">
        <v>216</v>
      </c>
      <c r="E7" s="265" t="s">
        <v>223</v>
      </c>
      <c r="F7" s="265" t="s">
        <v>118</v>
      </c>
      <c r="G7" s="265" t="s">
        <v>119</v>
      </c>
      <c r="H7" s="12" t="s">
        <v>120</v>
      </c>
      <c r="I7" s="266" t="s">
        <v>121</v>
      </c>
      <c r="J7" s="12" t="s">
        <v>122</v>
      </c>
      <c r="K7" s="265" t="s">
        <v>123</v>
      </c>
      <c r="L7" s="12" t="s">
        <v>124</v>
      </c>
    </row>
    <row r="8" spans="1:12" ht="12.75">
      <c r="A8" s="15" t="s">
        <v>47</v>
      </c>
      <c r="B8" s="362" t="s">
        <v>75</v>
      </c>
      <c r="C8" s="82">
        <v>115409.87968000001</v>
      </c>
      <c r="D8" s="82">
        <v>1133798</v>
      </c>
      <c r="E8" s="18">
        <f>10434+499802</f>
        <v>510236</v>
      </c>
      <c r="F8" s="336">
        <v>100</v>
      </c>
      <c r="G8" s="336">
        <v>77</v>
      </c>
      <c r="H8" s="334">
        <f>C8/D8*1000</f>
        <v>101.79051266627742</v>
      </c>
      <c r="I8" s="101">
        <f>C8*1000/E8</f>
        <v>226.1892137755862</v>
      </c>
      <c r="J8" s="102">
        <f>C8*1000/E8/F8%/G8%</f>
        <v>293.7522256825795</v>
      </c>
      <c r="K8" s="102">
        <f>D8/E8</f>
        <v>2.222105065107127</v>
      </c>
      <c r="L8" s="20">
        <f>($J$8-I8)*E8/1000</f>
        <v>34473.08094337662</v>
      </c>
    </row>
    <row r="9" spans="1:12" ht="12.75">
      <c r="A9" s="15" t="s">
        <v>48</v>
      </c>
      <c r="B9" s="359"/>
      <c r="C9" s="82">
        <v>76902.93453</v>
      </c>
      <c r="D9" s="82">
        <v>721752</v>
      </c>
      <c r="E9" s="92">
        <v>341067</v>
      </c>
      <c r="F9" s="336">
        <v>100</v>
      </c>
      <c r="G9" s="336">
        <v>83</v>
      </c>
      <c r="H9" s="334">
        <f aca="true" t="shared" si="0" ref="H9:H48">C9/D9*1000</f>
        <v>106.55035875203671</v>
      </c>
      <c r="I9" s="101">
        <f aca="true" t="shared" si="1" ref="I9:I48">C9*1000/E9</f>
        <v>225.47750010994906</v>
      </c>
      <c r="J9" s="102">
        <f>C9*1000/E9/F9%/G9%</f>
        <v>271.65963868668564</v>
      </c>
      <c r="K9" s="102">
        <f aca="true" t="shared" si="2" ref="K9:K48">D9/E9</f>
        <v>2.116158995153445</v>
      </c>
      <c r="L9" s="20">
        <f>($J$8-I9)*E9/1000</f>
        <v>23286.25582688034</v>
      </c>
    </row>
    <row r="10" spans="1:12" ht="12.75">
      <c r="A10" s="15" t="s">
        <v>49</v>
      </c>
      <c r="B10" s="359"/>
      <c r="C10" s="82">
        <v>8409.847880000001</v>
      </c>
      <c r="D10" s="82">
        <v>179414</v>
      </c>
      <c r="E10" s="18">
        <v>93534</v>
      </c>
      <c r="F10" s="336">
        <v>86</v>
      </c>
      <c r="G10" s="336">
        <v>87</v>
      </c>
      <c r="H10" s="334">
        <f t="shared" si="0"/>
        <v>46.87397795043866</v>
      </c>
      <c r="I10" s="101">
        <f t="shared" si="1"/>
        <v>89.91220176620267</v>
      </c>
      <c r="J10" s="102">
        <f>C10*1000/E10/F10%/G10%</f>
        <v>120.17134692088034</v>
      </c>
      <c r="K10" s="102">
        <f t="shared" si="2"/>
        <v>1.9181687942352514</v>
      </c>
      <c r="L10" s="20">
        <f>($J$8-I10)*E10/1000</f>
        <v>19065.97279699439</v>
      </c>
    </row>
    <row r="11" spans="1:12" ht="12.75">
      <c r="A11" s="22" t="s">
        <v>50</v>
      </c>
      <c r="B11" s="359"/>
      <c r="C11" s="322">
        <v>7319.04125</v>
      </c>
      <c r="D11" s="322">
        <v>112309</v>
      </c>
      <c r="E11" s="25">
        <v>72468</v>
      </c>
      <c r="F11" s="336">
        <v>100</v>
      </c>
      <c r="G11" s="338">
        <v>72</v>
      </c>
      <c r="H11" s="334">
        <f t="shared" si="0"/>
        <v>65.16878656207429</v>
      </c>
      <c r="I11" s="101">
        <f t="shared" si="1"/>
        <v>100.99687103273169</v>
      </c>
      <c r="J11" s="102">
        <f>C11*1000/E11/F11%/G11%</f>
        <v>140.27343198990513</v>
      </c>
      <c r="K11" s="102">
        <f t="shared" si="2"/>
        <v>1.5497736932163162</v>
      </c>
      <c r="L11" s="20">
        <f>($J$8-I11)*E11/1000</f>
        <v>13968.59504076517</v>
      </c>
    </row>
    <row r="12" spans="1:12" ht="12.75">
      <c r="A12" s="26"/>
      <c r="B12" s="27"/>
      <c r="C12" s="324"/>
      <c r="D12" s="29"/>
      <c r="E12" s="30"/>
      <c r="F12" s="103"/>
      <c r="G12" s="339"/>
      <c r="H12" s="334"/>
      <c r="I12" s="101"/>
      <c r="J12" s="104"/>
      <c r="K12" s="102"/>
      <c r="L12" s="33"/>
    </row>
    <row r="13" spans="1:12" ht="12.75">
      <c r="A13" s="34" t="s">
        <v>51</v>
      </c>
      <c r="B13" s="359" t="s">
        <v>76</v>
      </c>
      <c r="C13" s="323">
        <v>2285.17545</v>
      </c>
      <c r="D13" s="323">
        <v>73375</v>
      </c>
      <c r="E13" s="346">
        <v>46843</v>
      </c>
      <c r="F13" s="336">
        <v>100</v>
      </c>
      <c r="G13" s="340">
        <v>66</v>
      </c>
      <c r="H13" s="334">
        <f t="shared" si="0"/>
        <v>31.143788074957413</v>
      </c>
      <c r="I13" s="101">
        <f t="shared" si="1"/>
        <v>48.783712614478155</v>
      </c>
      <c r="J13" s="102">
        <f aca="true" t="shared" si="3" ref="J13:J18">C13*1000/E13/F13%/G13%</f>
        <v>73.91471608254265</v>
      </c>
      <c r="K13" s="102">
        <f t="shared" si="2"/>
        <v>1.5664026642187734</v>
      </c>
      <c r="L13" s="38">
        <f aca="true" t="shared" si="4" ref="L13:L18">($J$14-I13)*E13/1000</f>
        <v>21007.851211867463</v>
      </c>
    </row>
    <row r="14" spans="1:12" ht="12.75">
      <c r="A14" s="15" t="s">
        <v>52</v>
      </c>
      <c r="B14" s="359"/>
      <c r="C14" s="82">
        <v>11067.183640000001</v>
      </c>
      <c r="D14" s="82">
        <v>47709</v>
      </c>
      <c r="E14" s="347">
        <v>26815</v>
      </c>
      <c r="F14" s="336">
        <v>100</v>
      </c>
      <c r="G14" s="336">
        <v>83</v>
      </c>
      <c r="H14" s="334">
        <f t="shared" si="0"/>
        <v>231.97266008509925</v>
      </c>
      <c r="I14" s="101">
        <f t="shared" si="1"/>
        <v>412.72361141152345</v>
      </c>
      <c r="J14" s="102">
        <f t="shared" si="3"/>
        <v>497.2573631464138</v>
      </c>
      <c r="K14" s="102">
        <f t="shared" si="2"/>
        <v>1.7791907514450866</v>
      </c>
      <c r="L14" s="38">
        <f t="shared" si="4"/>
        <v>2266.772552771085</v>
      </c>
    </row>
    <row r="15" spans="1:12" ht="12.75">
      <c r="A15" s="15" t="s">
        <v>53</v>
      </c>
      <c r="B15" s="359"/>
      <c r="C15" s="82">
        <v>6545.24917</v>
      </c>
      <c r="D15" s="82">
        <v>62553</v>
      </c>
      <c r="E15" s="347">
        <v>29749</v>
      </c>
      <c r="F15" s="336">
        <v>100</v>
      </c>
      <c r="G15" s="336">
        <v>71</v>
      </c>
      <c r="H15" s="334">
        <f t="shared" si="0"/>
        <v>104.63525602289259</v>
      </c>
      <c r="I15" s="101">
        <f t="shared" si="1"/>
        <v>220.01577095028404</v>
      </c>
      <c r="J15" s="102">
        <f t="shared" si="3"/>
        <v>309.88136753561133</v>
      </c>
      <c r="K15" s="102">
        <f t="shared" si="2"/>
        <v>2.102692527479915</v>
      </c>
      <c r="L15" s="38">
        <f t="shared" si="4"/>
        <v>8247.660126242665</v>
      </c>
    </row>
    <row r="16" spans="1:12" ht="12.75">
      <c r="A16" s="15" t="s">
        <v>54</v>
      </c>
      <c r="B16" s="359"/>
      <c r="C16" s="82">
        <v>1038.1835</v>
      </c>
      <c r="D16" s="82">
        <v>27800</v>
      </c>
      <c r="E16" s="347">
        <v>16791</v>
      </c>
      <c r="F16" s="336">
        <v>93</v>
      </c>
      <c r="G16" s="336">
        <v>98</v>
      </c>
      <c r="H16" s="334">
        <f t="shared" si="0"/>
        <v>37.34473021582734</v>
      </c>
      <c r="I16" s="101">
        <f t="shared" si="1"/>
        <v>61.82975999047109</v>
      </c>
      <c r="J16" s="102">
        <f t="shared" si="3"/>
        <v>67.84042131936701</v>
      </c>
      <c r="K16" s="102">
        <f t="shared" si="2"/>
        <v>1.6556488595080698</v>
      </c>
      <c r="L16" s="38">
        <f t="shared" si="4"/>
        <v>7311.264884591435</v>
      </c>
    </row>
    <row r="17" spans="1:12" ht="12.75">
      <c r="A17" s="15" t="s">
        <v>55</v>
      </c>
      <c r="B17" s="359"/>
      <c r="C17" s="82">
        <v>4019.96582</v>
      </c>
      <c r="D17" s="82">
        <v>50787</v>
      </c>
      <c r="E17" s="347">
        <v>35805</v>
      </c>
      <c r="F17" s="336">
        <v>100</v>
      </c>
      <c r="G17" s="336">
        <v>81</v>
      </c>
      <c r="H17" s="334">
        <f t="shared" si="0"/>
        <v>79.15344123496169</v>
      </c>
      <c r="I17" s="101">
        <f t="shared" si="1"/>
        <v>112.2738673369641</v>
      </c>
      <c r="J17" s="102">
        <f t="shared" si="3"/>
        <v>138.60971276168408</v>
      </c>
      <c r="K17" s="102">
        <f t="shared" si="2"/>
        <v>1.4184331797235024</v>
      </c>
      <c r="L17" s="38">
        <f t="shared" si="4"/>
        <v>13784.334067457348</v>
      </c>
    </row>
    <row r="18" spans="1:12" ht="12.75">
      <c r="A18" s="22" t="s">
        <v>56</v>
      </c>
      <c r="B18" s="359"/>
      <c r="C18" s="322">
        <v>2889.085</v>
      </c>
      <c r="D18" s="322">
        <v>29101</v>
      </c>
      <c r="E18" s="348">
        <v>16116</v>
      </c>
      <c r="F18" s="336">
        <v>100</v>
      </c>
      <c r="G18" s="341">
        <v>83</v>
      </c>
      <c r="H18" s="334">
        <f t="shared" si="0"/>
        <v>99.27785986735852</v>
      </c>
      <c r="I18" s="101">
        <f t="shared" si="1"/>
        <v>179.268118639861</v>
      </c>
      <c r="J18" s="102">
        <f t="shared" si="3"/>
        <v>215.98568510826627</v>
      </c>
      <c r="K18" s="102">
        <f t="shared" si="2"/>
        <v>1.8057210225862497</v>
      </c>
      <c r="L18" s="38">
        <f t="shared" si="4"/>
        <v>5124.714664467606</v>
      </c>
    </row>
    <row r="19" spans="1:12" ht="12.75">
      <c r="A19" s="26"/>
      <c r="B19" s="27"/>
      <c r="C19" s="324"/>
      <c r="D19" s="29"/>
      <c r="E19" s="30"/>
      <c r="F19" s="103"/>
      <c r="G19" s="103"/>
      <c r="H19" s="334"/>
      <c r="I19" s="101"/>
      <c r="J19" s="104"/>
      <c r="K19" s="102"/>
      <c r="L19" s="33"/>
    </row>
    <row r="20" spans="1:12" ht="12.75" customHeight="1">
      <c r="A20" s="15" t="s">
        <v>24</v>
      </c>
      <c r="B20" s="402" t="s">
        <v>77</v>
      </c>
      <c r="C20" s="82">
        <v>1295.67252</v>
      </c>
      <c r="D20" s="82">
        <v>82277</v>
      </c>
      <c r="E20" s="18">
        <f>3170+25689</f>
        <v>28859</v>
      </c>
      <c r="F20" s="336">
        <v>100</v>
      </c>
      <c r="G20" s="336">
        <v>129</v>
      </c>
      <c r="H20" s="334">
        <f t="shared" si="0"/>
        <v>15.747687932228937</v>
      </c>
      <c r="I20" s="101">
        <f t="shared" si="1"/>
        <v>44.89665338369313</v>
      </c>
      <c r="J20" s="102">
        <f aca="true" t="shared" si="5" ref="J20:J25">C20*1000/E20/F20%/G20%</f>
        <v>34.80360727418072</v>
      </c>
      <c r="K20" s="102">
        <f t="shared" si="2"/>
        <v>2.850999688138882</v>
      </c>
      <c r="L20" s="20">
        <f aca="true" t="shared" si="6" ref="L20:L25">($J$22-I20)*E20/1000</f>
        <v>13712.962993766476</v>
      </c>
    </row>
    <row r="21" spans="1:12" ht="12.75">
      <c r="A21" s="15" t="s">
        <v>38</v>
      </c>
      <c r="B21" s="402"/>
      <c r="C21" s="82">
        <v>2835.75208</v>
      </c>
      <c r="D21" s="82">
        <v>44636</v>
      </c>
      <c r="E21" s="18">
        <v>18087</v>
      </c>
      <c r="F21" s="336">
        <v>100</v>
      </c>
      <c r="G21" s="336">
        <v>95</v>
      </c>
      <c r="H21" s="334">
        <f t="shared" si="0"/>
        <v>63.530604892911555</v>
      </c>
      <c r="I21" s="101">
        <f t="shared" si="1"/>
        <v>156.78399292309393</v>
      </c>
      <c r="J21" s="102">
        <f t="shared" si="5"/>
        <v>165.0357820243094</v>
      </c>
      <c r="K21" s="102">
        <f t="shared" si="2"/>
        <v>2.4678498368994304</v>
      </c>
      <c r="L21" s="20">
        <f t="shared" si="6"/>
        <v>6570.713512622554</v>
      </c>
    </row>
    <row r="22" spans="1:12" ht="12.75">
      <c r="A22" s="15" t="s">
        <v>39</v>
      </c>
      <c r="B22" s="402"/>
      <c r="C22" s="82">
        <v>11591.37427</v>
      </c>
      <c r="D22" s="82">
        <v>53543</v>
      </c>
      <c r="E22" s="18">
        <v>33770</v>
      </c>
      <c r="F22" s="336">
        <v>100</v>
      </c>
      <c r="G22" s="336">
        <v>66</v>
      </c>
      <c r="H22" s="334">
        <f t="shared" si="0"/>
        <v>216.48720224865997</v>
      </c>
      <c r="I22" s="101">
        <f t="shared" si="1"/>
        <v>343.2447222386734</v>
      </c>
      <c r="J22" s="102">
        <f t="shared" si="5"/>
        <v>520.0677609676869</v>
      </c>
      <c r="K22" s="102">
        <f t="shared" si="2"/>
        <v>1.58551969203435</v>
      </c>
      <c r="L22" s="20">
        <f t="shared" si="6"/>
        <v>5971.314017878788</v>
      </c>
    </row>
    <row r="23" spans="1:12" ht="12.75">
      <c r="A23" s="15" t="s">
        <v>40</v>
      </c>
      <c r="B23" s="402"/>
      <c r="C23" s="82">
        <v>2280.4775299999997</v>
      </c>
      <c r="D23" s="82">
        <v>25633</v>
      </c>
      <c r="E23" s="18">
        <v>10024</v>
      </c>
      <c r="F23" s="336">
        <v>97</v>
      </c>
      <c r="G23" s="336">
        <v>86</v>
      </c>
      <c r="H23" s="334">
        <f t="shared" si="0"/>
        <v>88.96647017516482</v>
      </c>
      <c r="I23" s="101">
        <f t="shared" si="1"/>
        <v>227.5017488028731</v>
      </c>
      <c r="J23" s="102">
        <f t="shared" si="5"/>
        <v>272.7184713532404</v>
      </c>
      <c r="K23" s="102">
        <f t="shared" si="2"/>
        <v>2.557162809257781</v>
      </c>
      <c r="L23" s="20">
        <f t="shared" si="6"/>
        <v>2932.681705940094</v>
      </c>
    </row>
    <row r="24" spans="1:12" ht="12.75">
      <c r="A24" s="15" t="s">
        <v>33</v>
      </c>
      <c r="B24" s="402"/>
      <c r="C24" s="82">
        <v>3105.14825</v>
      </c>
      <c r="D24" s="82">
        <v>51952</v>
      </c>
      <c r="E24" s="18">
        <v>23660</v>
      </c>
      <c r="F24" s="336">
        <v>100</v>
      </c>
      <c r="G24" s="336">
        <v>69</v>
      </c>
      <c r="H24" s="334">
        <f t="shared" si="0"/>
        <v>59.76956132583924</v>
      </c>
      <c r="I24" s="101">
        <f t="shared" si="1"/>
        <v>131.24041631445476</v>
      </c>
      <c r="J24" s="102">
        <f t="shared" si="5"/>
        <v>190.20350190500693</v>
      </c>
      <c r="K24" s="102">
        <f t="shared" si="2"/>
        <v>2.195773457311919</v>
      </c>
      <c r="L24" s="20">
        <f t="shared" si="6"/>
        <v>9199.654974495472</v>
      </c>
    </row>
    <row r="25" spans="1:12" ht="12.75">
      <c r="A25" s="15" t="s">
        <v>29</v>
      </c>
      <c r="B25" s="402"/>
      <c r="C25" s="82">
        <v>3414.7165800000002</v>
      </c>
      <c r="D25" s="82">
        <v>29056</v>
      </c>
      <c r="E25" s="18">
        <v>12343</v>
      </c>
      <c r="F25" s="336">
        <v>100</v>
      </c>
      <c r="G25" s="336">
        <v>78</v>
      </c>
      <c r="H25" s="334">
        <f t="shared" si="0"/>
        <v>117.52190872797358</v>
      </c>
      <c r="I25" s="101">
        <f t="shared" si="1"/>
        <v>276.6520764805963</v>
      </c>
      <c r="J25" s="102">
        <f t="shared" si="5"/>
        <v>354.6821493340978</v>
      </c>
      <c r="K25" s="102">
        <f t="shared" si="2"/>
        <v>2.354046828161711</v>
      </c>
      <c r="L25" s="20">
        <f t="shared" si="6"/>
        <v>3004.4797936241594</v>
      </c>
    </row>
    <row r="26" spans="1:12" s="107" customFormat="1" ht="12.75">
      <c r="A26" s="106"/>
      <c r="B26" s="32"/>
      <c r="C26" s="325"/>
      <c r="D26" s="32"/>
      <c r="E26" s="32"/>
      <c r="F26" s="337"/>
      <c r="G26" s="105"/>
      <c r="H26" s="334"/>
      <c r="I26" s="101"/>
      <c r="J26" s="32"/>
      <c r="K26" s="102"/>
      <c r="L26" s="33"/>
    </row>
    <row r="27" spans="1:12" ht="12.75" customHeight="1">
      <c r="A27" s="15" t="s">
        <v>19</v>
      </c>
      <c r="B27" s="402" t="s">
        <v>78</v>
      </c>
      <c r="C27" s="82">
        <v>1629.3521899999998</v>
      </c>
      <c r="D27" s="82">
        <v>40161</v>
      </c>
      <c r="E27" s="92">
        <v>17554</v>
      </c>
      <c r="F27" s="336">
        <v>100</v>
      </c>
      <c r="G27" s="336">
        <v>77</v>
      </c>
      <c r="H27" s="334">
        <f t="shared" si="0"/>
        <v>40.570508453474766</v>
      </c>
      <c r="I27" s="101">
        <f t="shared" si="1"/>
        <v>92.8194252022331</v>
      </c>
      <c r="J27" s="102">
        <f aca="true" t="shared" si="7" ref="J27:J33">C27*1000/E27/F27%/G27%</f>
        <v>120.54470805484819</v>
      </c>
      <c r="K27" s="102">
        <f t="shared" si="2"/>
        <v>2.287854620029623</v>
      </c>
      <c r="L27" s="20">
        <f>($J$29-I27)*E27/1000</f>
        <v>4607.1833368408925</v>
      </c>
    </row>
    <row r="28" spans="1:12" ht="12.75">
      <c r="A28" s="15" t="s">
        <v>20</v>
      </c>
      <c r="B28" s="402"/>
      <c r="C28" s="82">
        <v>862.99937</v>
      </c>
      <c r="D28" s="82">
        <v>15698</v>
      </c>
      <c r="E28" s="18">
        <v>6727</v>
      </c>
      <c r="F28" s="336">
        <v>100</v>
      </c>
      <c r="G28" s="336">
        <v>76</v>
      </c>
      <c r="H28" s="334">
        <f t="shared" si="0"/>
        <v>54.975115938336096</v>
      </c>
      <c r="I28" s="101">
        <f t="shared" si="1"/>
        <v>128.2888910361231</v>
      </c>
      <c r="J28" s="102">
        <f t="shared" si="7"/>
        <v>168.80117241595144</v>
      </c>
      <c r="K28" s="102">
        <f t="shared" si="2"/>
        <v>2.333581091125316</v>
      </c>
      <c r="L28" s="20">
        <f aca="true" t="shared" si="8" ref="L28:L33">($J$29-I28)*E28/1000</f>
        <v>1526.9501850335355</v>
      </c>
    </row>
    <row r="29" spans="1:12" ht="12.75">
      <c r="A29" s="15" t="s">
        <v>23</v>
      </c>
      <c r="B29" s="402"/>
      <c r="C29" s="82">
        <v>997.43001</v>
      </c>
      <c r="D29" s="82">
        <v>24704</v>
      </c>
      <c r="E29" s="18">
        <v>6529</v>
      </c>
      <c r="F29" s="336">
        <v>100</v>
      </c>
      <c r="G29" s="336">
        <v>43</v>
      </c>
      <c r="H29" s="334">
        <f t="shared" si="0"/>
        <v>40.37524328044042</v>
      </c>
      <c r="I29" s="101">
        <f t="shared" si="1"/>
        <v>152.7691851738398</v>
      </c>
      <c r="J29" s="102">
        <f t="shared" si="7"/>
        <v>355.27717482288324</v>
      </c>
      <c r="K29" s="102">
        <f t="shared" si="2"/>
        <v>3.7837341093582477</v>
      </c>
      <c r="L29" s="20">
        <f t="shared" si="8"/>
        <v>1322.1746644186046</v>
      </c>
    </row>
    <row r="30" spans="1:12" ht="12.75">
      <c r="A30" s="15" t="s">
        <v>30</v>
      </c>
      <c r="B30" s="402"/>
      <c r="C30" s="82">
        <v>1783.95778</v>
      </c>
      <c r="D30" s="82">
        <v>47920</v>
      </c>
      <c r="E30" s="18">
        <v>17813</v>
      </c>
      <c r="F30" s="336">
        <v>100</v>
      </c>
      <c r="G30" s="336">
        <v>85</v>
      </c>
      <c r="H30" s="334">
        <f t="shared" si="0"/>
        <v>37.227833472454094</v>
      </c>
      <c r="I30" s="101">
        <f t="shared" si="1"/>
        <v>100.14920451355752</v>
      </c>
      <c r="J30" s="102">
        <f t="shared" si="7"/>
        <v>117.8225935453618</v>
      </c>
      <c r="K30" s="102">
        <f t="shared" si="2"/>
        <v>2.6901701004884075</v>
      </c>
      <c r="L30" s="20">
        <f t="shared" si="8"/>
        <v>4544.594535120019</v>
      </c>
    </row>
    <row r="31" spans="1:12" ht="12.75">
      <c r="A31" s="15" t="s">
        <v>32</v>
      </c>
      <c r="B31" s="402"/>
      <c r="C31" s="82">
        <v>1423.18381</v>
      </c>
      <c r="D31" s="82">
        <v>18250</v>
      </c>
      <c r="E31" s="18">
        <v>5465</v>
      </c>
      <c r="F31" s="336">
        <v>100</v>
      </c>
      <c r="G31" s="336">
        <v>89</v>
      </c>
      <c r="H31" s="334">
        <f t="shared" si="0"/>
        <v>77.98267452054795</v>
      </c>
      <c r="I31" s="101">
        <f t="shared" si="1"/>
        <v>260.41789752973466</v>
      </c>
      <c r="J31" s="102">
        <f t="shared" si="7"/>
        <v>292.60437924689285</v>
      </c>
      <c r="K31" s="102">
        <f t="shared" si="2"/>
        <v>3.3394327538883806</v>
      </c>
      <c r="L31" s="20">
        <f t="shared" si="8"/>
        <v>518.405950407057</v>
      </c>
    </row>
    <row r="32" spans="1:12" ht="12.75">
      <c r="A32" s="15" t="s">
        <v>34</v>
      </c>
      <c r="B32" s="402"/>
      <c r="C32" s="82">
        <v>899.5244200000001</v>
      </c>
      <c r="D32" s="82">
        <v>31672</v>
      </c>
      <c r="E32" s="18">
        <v>4516</v>
      </c>
      <c r="F32" s="336">
        <v>100</v>
      </c>
      <c r="G32" s="336">
        <v>63</v>
      </c>
      <c r="H32" s="334">
        <f t="shared" si="0"/>
        <v>28.401250947208894</v>
      </c>
      <c r="I32" s="101">
        <f t="shared" si="1"/>
        <v>199.18609831709477</v>
      </c>
      <c r="J32" s="102">
        <f t="shared" si="7"/>
        <v>316.16841002713454</v>
      </c>
      <c r="K32" s="102">
        <f t="shared" si="2"/>
        <v>7.0132860938883965</v>
      </c>
      <c r="L32" s="20">
        <f t="shared" si="8"/>
        <v>704.9073015001406</v>
      </c>
    </row>
    <row r="33" spans="1:12" ht="12.75">
      <c r="A33" s="15" t="s">
        <v>36</v>
      </c>
      <c r="B33" s="402"/>
      <c r="C33" s="82">
        <v>835.8927</v>
      </c>
      <c r="D33" s="82">
        <v>27985</v>
      </c>
      <c r="E33" s="154">
        <v>7148</v>
      </c>
      <c r="F33" s="336">
        <v>100</v>
      </c>
      <c r="G33" s="342">
        <v>96</v>
      </c>
      <c r="H33" s="334">
        <f t="shared" si="0"/>
        <v>29.86931213149902</v>
      </c>
      <c r="I33" s="101">
        <f t="shared" si="1"/>
        <v>116.94078063794068</v>
      </c>
      <c r="J33" s="102">
        <f t="shared" si="7"/>
        <v>121.81331316452155</v>
      </c>
      <c r="K33" s="102">
        <f t="shared" si="2"/>
        <v>3.9150811415780638</v>
      </c>
      <c r="L33" s="20">
        <f t="shared" si="8"/>
        <v>1703.6285456339695</v>
      </c>
    </row>
    <row r="34" spans="1:12" ht="12.75">
      <c r="A34" s="106"/>
      <c r="B34" s="32"/>
      <c r="C34" s="325"/>
      <c r="D34" s="32"/>
      <c r="E34" s="32"/>
      <c r="F34" s="337"/>
      <c r="G34" s="105"/>
      <c r="H34" s="334"/>
      <c r="I34" s="101"/>
      <c r="J34" s="32"/>
      <c r="K34" s="102"/>
      <c r="L34" s="33"/>
    </row>
    <row r="35" spans="1:12" ht="12.75">
      <c r="A35" s="34" t="s">
        <v>35</v>
      </c>
      <c r="B35" s="359" t="s">
        <v>80</v>
      </c>
      <c r="C35" s="323">
        <v>1112.02206</v>
      </c>
      <c r="D35" s="323">
        <v>17293</v>
      </c>
      <c r="E35" s="37">
        <v>7612</v>
      </c>
      <c r="F35" s="336">
        <v>100</v>
      </c>
      <c r="G35" s="340">
        <v>97</v>
      </c>
      <c r="H35" s="334">
        <f t="shared" si="0"/>
        <v>64.3047510553403</v>
      </c>
      <c r="I35" s="101">
        <f t="shared" si="1"/>
        <v>146.08802679978982</v>
      </c>
      <c r="J35" s="102">
        <f aca="true" t="shared" si="9" ref="J35:J48">C35*1000/E35/F35%/G35%</f>
        <v>150.60621319565962</v>
      </c>
      <c r="K35" s="102">
        <f t="shared" si="2"/>
        <v>2.2718076720966893</v>
      </c>
      <c r="L35" s="38">
        <f>($J$43-I35)*E35/1000</f>
        <v>677.0749426064913</v>
      </c>
    </row>
    <row r="36" spans="1:12" ht="12.75">
      <c r="A36" s="15" t="s">
        <v>37</v>
      </c>
      <c r="B36" s="360"/>
      <c r="C36" s="82">
        <v>1034.5531899999999</v>
      </c>
      <c r="D36" s="82">
        <v>23865</v>
      </c>
      <c r="E36" s="18">
        <v>8249</v>
      </c>
      <c r="F36" s="336">
        <v>100</v>
      </c>
      <c r="G36" s="336">
        <v>86</v>
      </c>
      <c r="H36" s="334">
        <f t="shared" si="0"/>
        <v>43.35022794887911</v>
      </c>
      <c r="I36" s="101">
        <f t="shared" si="1"/>
        <v>125.41558855618861</v>
      </c>
      <c r="J36" s="102">
        <f t="shared" si="9"/>
        <v>145.83207971649838</v>
      </c>
      <c r="K36" s="102">
        <f t="shared" si="2"/>
        <v>2.8930779488422838</v>
      </c>
      <c r="L36" s="38">
        <f aca="true" t="shared" si="10" ref="L36:L48">($J$43-I36)*E36/1000</f>
        <v>904.2619931977074</v>
      </c>
    </row>
    <row r="37" spans="1:12" ht="12.75">
      <c r="A37" s="15" t="s">
        <v>27</v>
      </c>
      <c r="B37" s="360"/>
      <c r="C37" s="82">
        <v>365.49334000000005</v>
      </c>
      <c r="D37" s="82">
        <v>11378</v>
      </c>
      <c r="E37" s="18">
        <v>2283</v>
      </c>
      <c r="F37" s="336">
        <v>100</v>
      </c>
      <c r="G37" s="336">
        <v>109</v>
      </c>
      <c r="H37" s="334">
        <f t="shared" si="0"/>
        <v>32.12281068729127</v>
      </c>
      <c r="I37" s="101">
        <f t="shared" si="1"/>
        <v>160.09344721857207</v>
      </c>
      <c r="J37" s="102">
        <f t="shared" si="9"/>
        <v>146.87472221887344</v>
      </c>
      <c r="K37" s="102">
        <f t="shared" si="2"/>
        <v>4.983793254489706</v>
      </c>
      <c r="L37" s="38">
        <f t="shared" si="10"/>
        <v>171.09473894779552</v>
      </c>
    </row>
    <row r="38" spans="1:12" ht="12.75">
      <c r="A38" s="15" t="s">
        <v>18</v>
      </c>
      <c r="B38" s="360"/>
      <c r="C38" s="82">
        <v>111.51558</v>
      </c>
      <c r="D38" s="82">
        <v>12184</v>
      </c>
      <c r="E38" s="92">
        <v>2531</v>
      </c>
      <c r="F38" s="336">
        <v>100</v>
      </c>
      <c r="G38" s="336">
        <v>61</v>
      </c>
      <c r="H38" s="334">
        <f t="shared" si="0"/>
        <v>9.152624753775443</v>
      </c>
      <c r="I38" s="101">
        <f t="shared" si="1"/>
        <v>44.05988937178981</v>
      </c>
      <c r="J38" s="102">
        <f t="shared" si="9"/>
        <v>72.22932683899968</v>
      </c>
      <c r="K38" s="102">
        <f t="shared" si="2"/>
        <v>4.813907546424338</v>
      </c>
      <c r="L38" s="38">
        <f t="shared" si="10"/>
        <v>483.3615237305609</v>
      </c>
    </row>
    <row r="39" spans="1:12" ht="12.75">
      <c r="A39" s="15" t="s">
        <v>41</v>
      </c>
      <c r="B39" s="360"/>
      <c r="C39" s="82">
        <v>265.63847999999996</v>
      </c>
      <c r="D39" s="82">
        <v>14819</v>
      </c>
      <c r="E39" s="18">
        <v>4574</v>
      </c>
      <c r="F39" s="336">
        <v>100</v>
      </c>
      <c r="G39" s="336">
        <v>90</v>
      </c>
      <c r="H39" s="334">
        <f t="shared" si="0"/>
        <v>17.925533436804102</v>
      </c>
      <c r="I39" s="101">
        <f t="shared" si="1"/>
        <v>58.07574989068649</v>
      </c>
      <c r="J39" s="102">
        <f t="shared" si="9"/>
        <v>64.52861098965165</v>
      </c>
      <c r="K39" s="102">
        <f t="shared" si="2"/>
        <v>3.2398338434630523</v>
      </c>
      <c r="L39" s="38">
        <f t="shared" si="10"/>
        <v>809.4179690176157</v>
      </c>
    </row>
    <row r="40" spans="1:12" ht="12.75">
      <c r="A40" s="15" t="s">
        <v>42</v>
      </c>
      <c r="B40" s="360"/>
      <c r="C40" s="82">
        <v>245.78814000000003</v>
      </c>
      <c r="D40" s="82">
        <v>17273</v>
      </c>
      <c r="E40" s="18">
        <v>5564</v>
      </c>
      <c r="F40" s="336">
        <v>100</v>
      </c>
      <c r="G40" s="336">
        <v>99</v>
      </c>
      <c r="H40" s="334">
        <f t="shared" si="0"/>
        <v>14.229615006078854</v>
      </c>
      <c r="I40" s="101">
        <f t="shared" si="1"/>
        <v>44.174719626168226</v>
      </c>
      <c r="J40" s="102">
        <f t="shared" si="9"/>
        <v>44.62092891532144</v>
      </c>
      <c r="K40" s="102">
        <f t="shared" si="2"/>
        <v>3.1044212796549244</v>
      </c>
      <c r="L40" s="38">
        <f t="shared" si="10"/>
        <v>1061.954335368171</v>
      </c>
    </row>
    <row r="41" spans="1:12" ht="12.75">
      <c r="A41" s="15" t="s">
        <v>43</v>
      </c>
      <c r="B41" s="360"/>
      <c r="C41" s="82">
        <v>110.14964</v>
      </c>
      <c r="D41" s="82">
        <v>17107</v>
      </c>
      <c r="E41" s="18">
        <v>2856</v>
      </c>
      <c r="F41" s="336">
        <v>100</v>
      </c>
      <c r="G41" s="336">
        <v>113</v>
      </c>
      <c r="H41" s="334">
        <f t="shared" si="0"/>
        <v>6.438863623078273</v>
      </c>
      <c r="I41" s="101">
        <f t="shared" si="1"/>
        <v>38.56780112044818</v>
      </c>
      <c r="J41" s="102">
        <f t="shared" si="9"/>
        <v>34.13079745172406</v>
      </c>
      <c r="K41" s="102">
        <f t="shared" si="2"/>
        <v>5.98984593837535</v>
      </c>
      <c r="L41" s="38">
        <f t="shared" si="10"/>
        <v>561.114290562814</v>
      </c>
    </row>
    <row r="42" spans="1:12" ht="12.75">
      <c r="A42" s="15" t="s">
        <v>44</v>
      </c>
      <c r="B42" s="360"/>
      <c r="C42" s="82">
        <v>672.52897</v>
      </c>
      <c r="D42" s="82">
        <v>20878</v>
      </c>
      <c r="E42" s="18">
        <v>15069</v>
      </c>
      <c r="F42" s="336">
        <v>100</v>
      </c>
      <c r="G42" s="336">
        <v>73</v>
      </c>
      <c r="H42" s="334">
        <f t="shared" si="0"/>
        <v>32.21232733020404</v>
      </c>
      <c r="I42" s="101">
        <f t="shared" si="1"/>
        <v>44.62996681929789</v>
      </c>
      <c r="J42" s="102">
        <f t="shared" si="9"/>
        <v>61.13694084835328</v>
      </c>
      <c r="K42" s="102">
        <f t="shared" si="2"/>
        <v>1.3854933970402814</v>
      </c>
      <c r="L42" s="38">
        <f t="shared" si="10"/>
        <v>2869.2343947237546</v>
      </c>
    </row>
    <row r="43" spans="1:12" ht="12.75">
      <c r="A43" s="15" t="s">
        <v>57</v>
      </c>
      <c r="B43" s="360"/>
      <c r="C43" s="82">
        <v>724.09306</v>
      </c>
      <c r="D43" s="82">
        <v>20389</v>
      </c>
      <c r="E43" s="18">
        <v>4001</v>
      </c>
      <c r="F43" s="336">
        <v>100</v>
      </c>
      <c r="G43" s="336">
        <v>77</v>
      </c>
      <c r="H43" s="334">
        <f t="shared" si="0"/>
        <v>35.513907499141695</v>
      </c>
      <c r="I43" s="101">
        <f t="shared" si="1"/>
        <v>180.9780204948763</v>
      </c>
      <c r="J43" s="102">
        <f t="shared" si="9"/>
        <v>235.0363902530861</v>
      </c>
      <c r="K43" s="102">
        <f t="shared" si="2"/>
        <v>5.095976005998501</v>
      </c>
      <c r="L43" s="38">
        <f t="shared" si="10"/>
        <v>216.28753740259742</v>
      </c>
    </row>
    <row r="44" spans="1:12" ht="12.75" customHeight="1">
      <c r="A44" s="15" t="s">
        <v>58</v>
      </c>
      <c r="B44" s="360"/>
      <c r="C44" s="82">
        <v>858.9147800000001</v>
      </c>
      <c r="D44" s="82">
        <v>18281</v>
      </c>
      <c r="E44" s="18">
        <v>3118</v>
      </c>
      <c r="F44" s="336">
        <v>100</v>
      </c>
      <c r="G44" s="336">
        <v>92</v>
      </c>
      <c r="H44" s="334">
        <f t="shared" si="0"/>
        <v>46.98401509764236</v>
      </c>
      <c r="I44" s="101">
        <f t="shared" si="1"/>
        <v>275.46978191148173</v>
      </c>
      <c r="J44" s="102">
        <f t="shared" si="9"/>
        <v>299.423675990741</v>
      </c>
      <c r="K44" s="102">
        <f t="shared" si="2"/>
        <v>5.863053239255933</v>
      </c>
      <c r="L44" s="38">
        <f t="shared" si="10"/>
        <v>-126.07131519087758</v>
      </c>
    </row>
    <row r="45" spans="1:12" ht="12.75">
      <c r="A45" s="15" t="s">
        <v>25</v>
      </c>
      <c r="B45" s="360"/>
      <c r="C45" s="82">
        <v>183.19991000000002</v>
      </c>
      <c r="D45" s="82">
        <v>9922</v>
      </c>
      <c r="E45" s="18">
        <v>2664</v>
      </c>
      <c r="F45" s="336">
        <v>100</v>
      </c>
      <c r="G45" s="336">
        <v>69</v>
      </c>
      <c r="H45" s="334">
        <f t="shared" si="0"/>
        <v>18.464010280185448</v>
      </c>
      <c r="I45" s="101">
        <f t="shared" si="1"/>
        <v>68.76873498498499</v>
      </c>
      <c r="J45" s="102">
        <f t="shared" si="9"/>
        <v>99.66483331157245</v>
      </c>
      <c r="K45" s="102">
        <f t="shared" si="2"/>
        <v>3.7244744744744747</v>
      </c>
      <c r="L45" s="38">
        <f t="shared" si="10"/>
        <v>442.9370336342214</v>
      </c>
    </row>
    <row r="46" spans="1:12" ht="12.75">
      <c r="A46" s="15" t="s">
        <v>26</v>
      </c>
      <c r="B46" s="360"/>
      <c r="C46" s="82">
        <v>211.12455</v>
      </c>
      <c r="D46" s="82">
        <v>14002</v>
      </c>
      <c r="E46" s="18">
        <v>2948</v>
      </c>
      <c r="F46" s="336">
        <v>100</v>
      </c>
      <c r="G46" s="336">
        <v>91</v>
      </c>
      <c r="H46" s="334">
        <f t="shared" si="0"/>
        <v>15.078170975574919</v>
      </c>
      <c r="I46" s="101">
        <f t="shared" si="1"/>
        <v>71.616197421981</v>
      </c>
      <c r="J46" s="102">
        <f t="shared" si="9"/>
        <v>78.69911804613297</v>
      </c>
      <c r="K46" s="102">
        <f t="shared" si="2"/>
        <v>4.74966078697422</v>
      </c>
      <c r="L46" s="38">
        <f t="shared" si="10"/>
        <v>481.7627284660978</v>
      </c>
    </row>
    <row r="47" spans="1:12" ht="12.75">
      <c r="A47" s="15" t="s">
        <v>28</v>
      </c>
      <c r="B47" s="360"/>
      <c r="C47" s="82">
        <v>232.56885</v>
      </c>
      <c r="D47" s="82">
        <v>14899</v>
      </c>
      <c r="E47" s="18">
        <v>3240</v>
      </c>
      <c r="F47" s="336">
        <v>100</v>
      </c>
      <c r="G47" s="336">
        <v>105</v>
      </c>
      <c r="H47" s="334">
        <f t="shared" si="0"/>
        <v>15.609695281562521</v>
      </c>
      <c r="I47" s="101">
        <f t="shared" si="1"/>
        <v>71.78050925925926</v>
      </c>
      <c r="J47" s="102">
        <f t="shared" si="9"/>
        <v>68.3623897707231</v>
      </c>
      <c r="K47" s="102">
        <f t="shared" si="2"/>
        <v>4.598456790123457</v>
      </c>
      <c r="L47" s="38">
        <f t="shared" si="10"/>
        <v>528.949054419999</v>
      </c>
    </row>
    <row r="48" spans="1:12" ht="12.75">
      <c r="A48" s="15" t="s">
        <v>31</v>
      </c>
      <c r="B48" s="361"/>
      <c r="C48" s="82">
        <v>323.67904</v>
      </c>
      <c r="D48" s="82">
        <v>25766</v>
      </c>
      <c r="E48" s="18">
        <v>6035</v>
      </c>
      <c r="F48" s="336">
        <v>100</v>
      </c>
      <c r="G48" s="336">
        <v>102</v>
      </c>
      <c r="H48" s="334">
        <f t="shared" si="0"/>
        <v>12.562254133354031</v>
      </c>
      <c r="I48" s="101">
        <f t="shared" si="1"/>
        <v>53.63364374482187</v>
      </c>
      <c r="J48" s="102">
        <f t="shared" si="9"/>
        <v>52.582003671393984</v>
      </c>
      <c r="K48" s="102">
        <f t="shared" si="2"/>
        <v>4.269428334714167</v>
      </c>
      <c r="L48" s="38">
        <f t="shared" si="10"/>
        <v>1094.7655751773746</v>
      </c>
    </row>
    <row r="49" spans="1:12" ht="12.75">
      <c r="A49" s="100" t="s">
        <v>81</v>
      </c>
      <c r="B49" s="100"/>
      <c r="C49" s="149"/>
      <c r="D49" s="6"/>
      <c r="E49" s="6"/>
      <c r="F49" s="6"/>
      <c r="G49" s="6"/>
      <c r="H49" s="335"/>
      <c r="I49" s="101"/>
      <c r="J49" s="6"/>
      <c r="K49" s="6"/>
      <c r="L49" s="108">
        <f>SUM(L8:L48)</f>
        <v>215032.29843476022</v>
      </c>
    </row>
    <row r="50" spans="1:11" s="110" customFormat="1" ht="13.5" customHeight="1">
      <c r="A50" s="109" t="s">
        <v>125</v>
      </c>
      <c r="B50" s="155"/>
      <c r="C50" s="111">
        <f>('[5]на 01.05.07. имущ'!B16+'[5]на 01.05.07. имущ'!C35+'[5]на 01.05.07. имущ'!D35)/1000</f>
        <v>114.72751999999998</v>
      </c>
      <c r="D50" s="111"/>
      <c r="E50" s="112">
        <v>13970</v>
      </c>
      <c r="F50" s="112"/>
      <c r="G50" s="112"/>
      <c r="H50" s="114">
        <f>C50*1000/'[5]на 01.05.07'!H31</f>
        <v>2.150872140982377</v>
      </c>
      <c r="I50" s="114"/>
      <c r="J50" s="115">
        <f>C50*1000/E50</f>
        <v>8.212420901932711</v>
      </c>
      <c r="K50" s="113">
        <f>('[5]2006 им.'!D15+'[5]2006 им.'!D34)/'[5]По группам имущФЛ'!E46</f>
        <v>4.173657838224767</v>
      </c>
    </row>
    <row r="51" s="110" customFormat="1" ht="12.75"/>
    <row r="52" s="110" customFormat="1" ht="12.75"/>
    <row r="53" s="110" customFormat="1" ht="12.75"/>
  </sheetData>
  <sheetProtection/>
  <mergeCells count="6">
    <mergeCell ref="B5:K5"/>
    <mergeCell ref="B35:B48"/>
    <mergeCell ref="B8:B11"/>
    <mergeCell ref="B13:B18"/>
    <mergeCell ref="B20:B25"/>
    <mergeCell ref="B27:B33"/>
  </mergeCells>
  <printOptions/>
  <pageMargins left="0.5" right="0.7480314960629921" top="0.23" bottom="0.25" header="0.18" footer="0.18"/>
  <pageSetup fitToHeight="1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53"/>
  <sheetViews>
    <sheetView zoomScalePageLayoutView="0" workbookViewId="0" topLeftCell="A1">
      <pane xSplit="1" ySplit="9" topLeftCell="D28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F18" sqref="F18"/>
    </sheetView>
  </sheetViews>
  <sheetFormatPr defaultColWidth="9.00390625" defaultRowHeight="12.75"/>
  <cols>
    <col min="1" max="1" width="23.875" style="178" bestFit="1" customWidth="1"/>
    <col min="2" max="2" width="22.75390625" style="177" customWidth="1"/>
    <col min="3" max="3" width="20.25390625" style="177" customWidth="1"/>
    <col min="4" max="5" width="22.00390625" style="177" customWidth="1"/>
    <col min="6" max="6" width="31.25390625" style="177" customWidth="1"/>
    <col min="7" max="7" width="26.625" style="177" customWidth="1"/>
    <col min="8" max="8" width="22.00390625" style="177" customWidth="1"/>
    <col min="9" max="9" width="14.00390625" style="177" customWidth="1"/>
    <col min="10" max="16384" width="9.125" style="177" customWidth="1"/>
  </cols>
  <sheetData>
    <row r="1" ht="15.75">
      <c r="I1" s="215" t="s">
        <v>200</v>
      </c>
    </row>
    <row r="2" ht="15.75">
      <c r="I2" s="215"/>
    </row>
    <row r="3" ht="15.75">
      <c r="I3" s="215"/>
    </row>
    <row r="5" spans="1:9" ht="13.5">
      <c r="A5" s="403" t="s">
        <v>205</v>
      </c>
      <c r="B5" s="404"/>
      <c r="C5" s="404"/>
      <c r="D5" s="404"/>
      <c r="E5" s="404"/>
      <c r="F5" s="404"/>
      <c r="G5" s="404"/>
      <c r="H5" s="404"/>
      <c r="I5" s="404"/>
    </row>
    <row r="6" spans="1:9" ht="15.75">
      <c r="A6" s="213"/>
      <c r="B6" s="214"/>
      <c r="C6" s="214"/>
      <c r="D6" s="214"/>
      <c r="E6" s="214"/>
      <c r="F6" s="214"/>
      <c r="G6" s="214"/>
      <c r="H6" s="214"/>
      <c r="I6" s="222"/>
    </row>
    <row r="7" spans="1:9" ht="38.25" customHeight="1">
      <c r="A7" s="407" t="s">
        <v>178</v>
      </c>
      <c r="B7" s="407" t="s">
        <v>233</v>
      </c>
      <c r="C7" s="407" t="s">
        <v>234</v>
      </c>
      <c r="D7" s="407" t="s">
        <v>185</v>
      </c>
      <c r="E7" s="407" t="s">
        <v>179</v>
      </c>
      <c r="F7" s="407" t="s">
        <v>235</v>
      </c>
      <c r="G7" s="407" t="s">
        <v>186</v>
      </c>
      <c r="H7" s="407" t="s">
        <v>232</v>
      </c>
      <c r="I7" s="405" t="s">
        <v>193</v>
      </c>
    </row>
    <row r="8" spans="1:9" ht="27.75" customHeight="1">
      <c r="A8" s="407"/>
      <c r="B8" s="407"/>
      <c r="C8" s="407"/>
      <c r="D8" s="407"/>
      <c r="E8" s="407"/>
      <c r="F8" s="407"/>
      <c r="G8" s="407" t="s">
        <v>182</v>
      </c>
      <c r="H8" s="407"/>
      <c r="I8" s="406"/>
    </row>
    <row r="9" spans="1:9" s="183" customFormat="1" ht="12.75">
      <c r="A9" s="181"/>
      <c r="B9" s="182">
        <v>1</v>
      </c>
      <c r="C9" s="182">
        <v>2</v>
      </c>
      <c r="D9" s="182">
        <v>3</v>
      </c>
      <c r="E9" s="181"/>
      <c r="F9" s="182">
        <v>4</v>
      </c>
      <c r="G9" s="182">
        <v>5</v>
      </c>
      <c r="H9" s="182">
        <v>6</v>
      </c>
      <c r="I9" s="184">
        <v>7</v>
      </c>
    </row>
    <row r="10" spans="1:9" s="178" customFormat="1" ht="16.5" customHeight="1">
      <c r="A10" s="167" t="s">
        <v>8</v>
      </c>
      <c r="B10" s="168">
        <v>643054437454.218</v>
      </c>
      <c r="C10" s="169">
        <v>322545196288</v>
      </c>
      <c r="D10" s="175">
        <v>49.84169651873937</v>
      </c>
      <c r="E10" s="175">
        <v>50.15830348126063</v>
      </c>
      <c r="F10" s="168">
        <v>9645816561.81327</v>
      </c>
      <c r="G10" s="168">
        <v>4838177944.32</v>
      </c>
      <c r="H10" s="326">
        <v>1798174982.28</v>
      </c>
      <c r="I10" s="185">
        <f>(F10-H10-G10)/1000</f>
        <v>3009463.6352132712</v>
      </c>
    </row>
    <row r="11" spans="1:9" s="178" customFormat="1" ht="15.75" customHeight="1">
      <c r="A11" s="167" t="s">
        <v>9</v>
      </c>
      <c r="B11" s="168">
        <v>10052739097</v>
      </c>
      <c r="C11" s="169">
        <v>3922835311</v>
      </c>
      <c r="D11" s="175">
        <v>60.977448303908766</v>
      </c>
      <c r="E11" s="175">
        <v>39.022551696091234</v>
      </c>
      <c r="F11" s="168">
        <v>150791086.45499998</v>
      </c>
      <c r="G11" s="168">
        <v>58842529.665</v>
      </c>
      <c r="H11" s="326">
        <v>38559723.83</v>
      </c>
      <c r="I11" s="185">
        <f aca="true" t="shared" si="0" ref="I11:I46">(F11-H11-G11)/1000</f>
        <v>53388.832959999985</v>
      </c>
    </row>
    <row r="12" spans="1:9" ht="12.75" customHeight="1">
      <c r="A12" s="167" t="s">
        <v>10</v>
      </c>
      <c r="B12" s="168">
        <v>22127420609</v>
      </c>
      <c r="C12" s="169">
        <v>8170046196</v>
      </c>
      <c r="D12" s="175">
        <v>63.07727710171083</v>
      </c>
      <c r="E12" s="175">
        <v>36.92272289828917</v>
      </c>
      <c r="F12" s="168">
        <v>331911309.135</v>
      </c>
      <c r="G12" s="168">
        <v>122550692.94</v>
      </c>
      <c r="H12" s="326">
        <v>59670819.23</v>
      </c>
      <c r="I12" s="185">
        <f t="shared" si="0"/>
        <v>149689.796965</v>
      </c>
    </row>
    <row r="13" spans="1:9" ht="12.75">
      <c r="A13" s="167" t="s">
        <v>11</v>
      </c>
      <c r="B13" s="168">
        <v>28188783114</v>
      </c>
      <c r="C13" s="169">
        <v>21335224951</v>
      </c>
      <c r="D13" s="175">
        <v>24.313068553839667</v>
      </c>
      <c r="E13" s="175">
        <v>75.68693144616033</v>
      </c>
      <c r="F13" s="168">
        <v>422831746.71</v>
      </c>
      <c r="G13" s="168">
        <v>320028374.265</v>
      </c>
      <c r="H13" s="326">
        <v>67166527.94</v>
      </c>
      <c r="I13" s="185">
        <f t="shared" si="0"/>
        <v>35636.844504999994</v>
      </c>
    </row>
    <row r="14" spans="1:9" ht="12.75">
      <c r="A14" s="167" t="s">
        <v>12</v>
      </c>
      <c r="B14" s="168">
        <v>5045330386</v>
      </c>
      <c r="C14" s="169">
        <v>1114921760</v>
      </c>
      <c r="D14" s="175">
        <v>77.90190780976934</v>
      </c>
      <c r="E14" s="175">
        <v>22.09809219023066</v>
      </c>
      <c r="F14" s="168">
        <v>75679955.78999999</v>
      </c>
      <c r="G14" s="168">
        <v>16723826.399999999</v>
      </c>
      <c r="H14" s="326">
        <v>11716637.68</v>
      </c>
      <c r="I14" s="185">
        <f t="shared" si="0"/>
        <v>47239.491709999995</v>
      </c>
    </row>
    <row r="15" spans="1:9" ht="12.75">
      <c r="A15" s="167" t="s">
        <v>13</v>
      </c>
      <c r="B15" s="168">
        <v>14415564038</v>
      </c>
      <c r="C15" s="169">
        <v>7147181725</v>
      </c>
      <c r="D15" s="175">
        <v>50.42038101208011</v>
      </c>
      <c r="E15" s="175">
        <v>49.57961898791989</v>
      </c>
      <c r="F15" s="168">
        <v>216233460.57</v>
      </c>
      <c r="G15" s="168">
        <v>107207725.875</v>
      </c>
      <c r="H15" s="326">
        <v>22387643.7</v>
      </c>
      <c r="I15" s="185">
        <f t="shared" si="0"/>
        <v>86638.090995</v>
      </c>
    </row>
    <row r="16" spans="1:9" ht="12.75">
      <c r="A16" s="167" t="s">
        <v>14</v>
      </c>
      <c r="B16" s="168">
        <v>6934326987</v>
      </c>
      <c r="C16" s="169">
        <v>2972376180</v>
      </c>
      <c r="D16" s="175">
        <v>57.135332879854</v>
      </c>
      <c r="E16" s="175">
        <v>42.864667120146</v>
      </c>
      <c r="F16" s="168">
        <v>104014904.80499999</v>
      </c>
      <c r="G16" s="170">
        <v>44585642.699999996</v>
      </c>
      <c r="H16" s="326">
        <v>17514937.66</v>
      </c>
      <c r="I16" s="185">
        <f t="shared" si="0"/>
        <v>41914.324445</v>
      </c>
    </row>
    <row r="17" spans="1:9" ht="12.75">
      <c r="A17" s="167" t="s">
        <v>15</v>
      </c>
      <c r="B17" s="168">
        <v>58878048258</v>
      </c>
      <c r="C17" s="169">
        <v>26905781993</v>
      </c>
      <c r="D17" s="175">
        <v>54.30252396427865</v>
      </c>
      <c r="E17" s="175">
        <v>45.69747603572135</v>
      </c>
      <c r="F17" s="168">
        <v>883170723.87</v>
      </c>
      <c r="G17" s="168">
        <v>403586729.895</v>
      </c>
      <c r="H17" s="326">
        <v>109971990.1</v>
      </c>
      <c r="I17" s="185">
        <f t="shared" si="0"/>
        <v>369612.003875</v>
      </c>
    </row>
    <row r="18" spans="1:9" ht="12.75">
      <c r="A18" s="167" t="s">
        <v>16</v>
      </c>
      <c r="B18" s="168">
        <v>330206331977</v>
      </c>
      <c r="C18" s="169">
        <v>123054690516</v>
      </c>
      <c r="D18" s="175">
        <v>62.73400035085602</v>
      </c>
      <c r="E18" s="175">
        <v>37.26599964914398</v>
      </c>
      <c r="F18" s="168">
        <v>4953094979.655</v>
      </c>
      <c r="G18" s="168">
        <v>1845820357.74</v>
      </c>
      <c r="H18" s="326">
        <v>888202208.61</v>
      </c>
      <c r="I18" s="185">
        <f t="shared" si="0"/>
        <v>2219072.4133049995</v>
      </c>
    </row>
    <row r="19" spans="1:9" ht="12.75">
      <c r="A19" s="167" t="s">
        <v>183</v>
      </c>
      <c r="B19" s="168">
        <v>21251082225</v>
      </c>
      <c r="C19" s="169">
        <v>12549081684</v>
      </c>
      <c r="D19" s="175">
        <v>40.94850534606127</v>
      </c>
      <c r="E19" s="175">
        <v>59.05149465393873</v>
      </c>
      <c r="F19" s="168">
        <v>318766233.375</v>
      </c>
      <c r="G19" s="168">
        <v>188236225.26</v>
      </c>
      <c r="H19" s="326">
        <v>20478033.81</v>
      </c>
      <c r="I19" s="185">
        <f t="shared" si="0"/>
        <v>110051.97430500001</v>
      </c>
    </row>
    <row r="20" spans="1:9" ht="12.75">
      <c r="A20" s="167" t="s">
        <v>18</v>
      </c>
      <c r="B20" s="168">
        <v>2309857980.07</v>
      </c>
      <c r="C20" s="169">
        <v>687792423.07</v>
      </c>
      <c r="D20" s="175">
        <v>70.22360556344003</v>
      </c>
      <c r="E20" s="175">
        <v>29.77639443655997</v>
      </c>
      <c r="F20" s="168">
        <v>34647869.70105</v>
      </c>
      <c r="G20" s="170">
        <v>10316886.34605</v>
      </c>
      <c r="H20" s="326">
        <v>2829854.19</v>
      </c>
      <c r="I20" s="185">
        <f t="shared" si="0"/>
        <v>21501.129165</v>
      </c>
    </row>
    <row r="21" spans="1:9" ht="12.75">
      <c r="A21" s="167" t="s">
        <v>19</v>
      </c>
      <c r="B21" s="168">
        <v>13589549633</v>
      </c>
      <c r="C21" s="169">
        <v>8370046601</v>
      </c>
      <c r="D21" s="175">
        <v>38.40821199346659</v>
      </c>
      <c r="E21" s="175">
        <v>61.59178800653341</v>
      </c>
      <c r="F21" s="168">
        <v>203843244.495</v>
      </c>
      <c r="G21" s="168">
        <v>125550699.015</v>
      </c>
      <c r="H21" s="326">
        <v>12407127.12</v>
      </c>
      <c r="I21" s="185">
        <f t="shared" si="0"/>
        <v>65885.41836</v>
      </c>
    </row>
    <row r="22" spans="1:9" ht="12.75">
      <c r="A22" s="167" t="s">
        <v>184</v>
      </c>
      <c r="B22" s="172">
        <v>58847579563</v>
      </c>
      <c r="C22" s="169">
        <v>55744076980</v>
      </c>
      <c r="D22" s="175">
        <v>5.273798185153065</v>
      </c>
      <c r="E22" s="175">
        <v>94.72620181484693</v>
      </c>
      <c r="F22" s="170">
        <v>882713693.4449999</v>
      </c>
      <c r="G22" s="170">
        <v>836161154.6999999</v>
      </c>
      <c r="H22" s="326">
        <v>3670799.11</v>
      </c>
      <c r="I22" s="185">
        <f t="shared" si="0"/>
        <v>42881.73963499999</v>
      </c>
    </row>
    <row r="23" spans="1:9" ht="14.25" customHeight="1">
      <c r="A23" s="167" t="s">
        <v>21</v>
      </c>
      <c r="B23" s="173">
        <v>3144963653</v>
      </c>
      <c r="C23" s="169">
        <v>1540291338</v>
      </c>
      <c r="D23" s="175">
        <v>51.02355677367824</v>
      </c>
      <c r="E23" s="175">
        <v>48.97644322632176</v>
      </c>
      <c r="F23" s="170">
        <v>47174454.795</v>
      </c>
      <c r="G23" s="170">
        <v>23104370.07</v>
      </c>
      <c r="H23" s="326">
        <v>7225175.94</v>
      </c>
      <c r="I23" s="185">
        <f t="shared" si="0"/>
        <v>16844.908785000003</v>
      </c>
    </row>
    <row r="24" spans="1:9" ht="12.75">
      <c r="A24" s="167" t="s">
        <v>22</v>
      </c>
      <c r="B24" s="168">
        <v>1988835472</v>
      </c>
      <c r="C24" s="169">
        <v>671827407</v>
      </c>
      <c r="D24" s="175">
        <v>66.22006111323019</v>
      </c>
      <c r="E24" s="175">
        <v>33.77993888676981</v>
      </c>
      <c r="F24" s="168">
        <v>29832532.08</v>
      </c>
      <c r="G24" s="170">
        <v>10077411.105</v>
      </c>
      <c r="H24" s="326">
        <v>6020197.2</v>
      </c>
      <c r="I24" s="185">
        <f t="shared" si="0"/>
        <v>13734.923775</v>
      </c>
    </row>
    <row r="25" spans="1:9" ht="12.75">
      <c r="A25" s="167" t="s">
        <v>23</v>
      </c>
      <c r="B25" s="168">
        <v>3005335806</v>
      </c>
      <c r="C25" s="169">
        <v>1044044948</v>
      </c>
      <c r="D25" s="175">
        <v>65.26028985128326</v>
      </c>
      <c r="E25" s="175">
        <v>34.73971014871674</v>
      </c>
      <c r="F25" s="168">
        <v>45080037.089999996</v>
      </c>
      <c r="G25" s="168">
        <v>15660674.219999999</v>
      </c>
      <c r="H25" s="326">
        <v>3319377.73</v>
      </c>
      <c r="I25" s="185">
        <f t="shared" si="0"/>
        <v>26099.98514</v>
      </c>
    </row>
    <row r="26" spans="1:9" ht="12.75">
      <c r="A26" s="167" t="s">
        <v>24</v>
      </c>
      <c r="B26" s="168">
        <v>405036147395</v>
      </c>
      <c r="C26" s="169">
        <v>382101149980</v>
      </c>
      <c r="D26" s="175">
        <v>5.662456934401288</v>
      </c>
      <c r="E26" s="175">
        <v>94.33754306559871</v>
      </c>
      <c r="F26" s="168">
        <v>6075542210.925</v>
      </c>
      <c r="G26" s="168">
        <v>5731517249.7</v>
      </c>
      <c r="H26" s="326">
        <v>29056894.23</v>
      </c>
      <c r="I26" s="185">
        <f t="shared" si="0"/>
        <v>314968.0669950008</v>
      </c>
    </row>
    <row r="27" spans="1:9" ht="12.75">
      <c r="A27" s="167" t="s">
        <v>25</v>
      </c>
      <c r="B27" s="168">
        <v>2226677869</v>
      </c>
      <c r="C27" s="169">
        <v>583876754</v>
      </c>
      <c r="D27" s="175">
        <v>73.77812201177449</v>
      </c>
      <c r="E27" s="175">
        <v>26.22187798822552</v>
      </c>
      <c r="F27" s="168">
        <v>33400168.035</v>
      </c>
      <c r="G27" s="170">
        <v>8758151.31</v>
      </c>
      <c r="H27" s="326">
        <v>3163854.95</v>
      </c>
      <c r="I27" s="185">
        <f t="shared" si="0"/>
        <v>21478.161774999997</v>
      </c>
    </row>
    <row r="28" spans="1:9" ht="12.75">
      <c r="A28" s="167" t="s">
        <v>26</v>
      </c>
      <c r="B28" s="168">
        <v>1793426392</v>
      </c>
      <c r="C28" s="169">
        <v>564305101</v>
      </c>
      <c r="D28" s="175">
        <v>68.53480558124852</v>
      </c>
      <c r="E28" s="175">
        <v>31.46519441875148</v>
      </c>
      <c r="F28" s="168">
        <v>26901395.88</v>
      </c>
      <c r="G28" s="168">
        <v>8464576.515</v>
      </c>
      <c r="H28" s="326">
        <v>2772501.9</v>
      </c>
      <c r="I28" s="185">
        <f t="shared" si="0"/>
        <v>15664.317465</v>
      </c>
    </row>
    <row r="29" spans="1:9" ht="12.75">
      <c r="A29" s="167" t="s">
        <v>27</v>
      </c>
      <c r="B29" s="168">
        <v>1324444179</v>
      </c>
      <c r="C29" s="169">
        <v>583212497</v>
      </c>
      <c r="D29" s="175">
        <v>55.96549056221115</v>
      </c>
      <c r="E29" s="175">
        <v>44.03450943778885</v>
      </c>
      <c r="F29" s="168">
        <v>19866662.685</v>
      </c>
      <c r="G29" s="168">
        <v>8748187.455</v>
      </c>
      <c r="H29" s="326">
        <v>783400.13</v>
      </c>
      <c r="I29" s="185">
        <f t="shared" si="0"/>
        <v>10335.0751</v>
      </c>
    </row>
    <row r="30" spans="1:9" ht="12.75">
      <c r="A30" s="167" t="s">
        <v>28</v>
      </c>
      <c r="B30" s="168">
        <v>1153931604</v>
      </c>
      <c r="C30" s="169">
        <v>239590228</v>
      </c>
      <c r="D30" s="175">
        <v>79.23705121087922</v>
      </c>
      <c r="E30" s="175">
        <v>20.762948789120784</v>
      </c>
      <c r="F30" s="168">
        <v>17308974.06</v>
      </c>
      <c r="G30" s="170">
        <v>3593853.42</v>
      </c>
      <c r="H30" s="326">
        <v>1479399.27</v>
      </c>
      <c r="I30" s="185">
        <f t="shared" si="0"/>
        <v>12235.72137</v>
      </c>
    </row>
    <row r="31" spans="1:9" ht="12.75">
      <c r="A31" s="167" t="s">
        <v>29</v>
      </c>
      <c r="B31" s="168">
        <v>6844188708</v>
      </c>
      <c r="C31" s="169">
        <v>2248963903</v>
      </c>
      <c r="D31" s="175">
        <v>67.14053339337002</v>
      </c>
      <c r="E31" s="175">
        <v>32.85946660662998</v>
      </c>
      <c r="F31" s="168">
        <v>102662830.61999999</v>
      </c>
      <c r="G31" s="170">
        <v>33734458.545</v>
      </c>
      <c r="H31" s="326">
        <v>6834392.79</v>
      </c>
      <c r="I31" s="185">
        <f t="shared" si="0"/>
        <v>62093.97928499998</v>
      </c>
    </row>
    <row r="32" spans="1:9" ht="12.75">
      <c r="A32" s="167" t="s">
        <v>30</v>
      </c>
      <c r="B32" s="168">
        <v>7791007881</v>
      </c>
      <c r="C32" s="169">
        <v>2852630780</v>
      </c>
      <c r="D32" s="175">
        <v>63.385600122973365</v>
      </c>
      <c r="E32" s="175">
        <v>36.614399877026635</v>
      </c>
      <c r="F32" s="168">
        <v>116865118.21499999</v>
      </c>
      <c r="G32" s="168">
        <v>42789461.699999996</v>
      </c>
      <c r="H32" s="326">
        <v>7361187.29</v>
      </c>
      <c r="I32" s="185">
        <f t="shared" si="0"/>
        <v>66714.469225</v>
      </c>
    </row>
    <row r="33" spans="1:9" ht="12.75">
      <c r="A33" s="167" t="s">
        <v>31</v>
      </c>
      <c r="B33" s="168">
        <v>3434526073</v>
      </c>
      <c r="C33" s="169">
        <v>971242923</v>
      </c>
      <c r="D33" s="175">
        <v>71.72119522878928</v>
      </c>
      <c r="E33" s="175">
        <v>28.278804771210716</v>
      </c>
      <c r="F33" s="168">
        <v>51517891.095</v>
      </c>
      <c r="G33" s="168">
        <v>14568643.844999999</v>
      </c>
      <c r="H33" s="326">
        <v>2958204.8</v>
      </c>
      <c r="I33" s="185">
        <f t="shared" si="0"/>
        <v>33991.04245</v>
      </c>
    </row>
    <row r="34" spans="1:9" ht="12.75">
      <c r="A34" s="167" t="s">
        <v>32</v>
      </c>
      <c r="B34" s="168">
        <v>6679159564</v>
      </c>
      <c r="C34" s="169">
        <v>4265406450</v>
      </c>
      <c r="D34" s="175">
        <v>36.13857538319472</v>
      </c>
      <c r="E34" s="175">
        <v>63.86142461680528</v>
      </c>
      <c r="F34" s="168">
        <v>100187393.46</v>
      </c>
      <c r="G34" s="168">
        <v>63981096.75</v>
      </c>
      <c r="H34" s="326">
        <v>5292343.25</v>
      </c>
      <c r="I34" s="185">
        <f t="shared" si="0"/>
        <v>30913.953459999993</v>
      </c>
    </row>
    <row r="35" spans="1:9" ht="12.75">
      <c r="A35" s="167" t="s">
        <v>33</v>
      </c>
      <c r="B35" s="168">
        <v>25815980739</v>
      </c>
      <c r="C35" s="169">
        <v>10545945138</v>
      </c>
      <c r="D35" s="175">
        <v>59.14954676864814</v>
      </c>
      <c r="E35" s="175">
        <v>40.85045323135186</v>
      </c>
      <c r="F35" s="168">
        <v>387239711.085</v>
      </c>
      <c r="G35" s="168">
        <v>158189177.07</v>
      </c>
      <c r="H35" s="326">
        <v>22357955.77</v>
      </c>
      <c r="I35" s="185">
        <f t="shared" si="0"/>
        <v>206692.578245</v>
      </c>
    </row>
    <row r="36" spans="1:9" ht="12.75">
      <c r="A36" s="167" t="s">
        <v>34</v>
      </c>
      <c r="B36" s="168">
        <v>5253149017</v>
      </c>
      <c r="C36" s="169">
        <v>2291858218</v>
      </c>
      <c r="D36" s="175">
        <v>56.37172654757758</v>
      </c>
      <c r="E36" s="175">
        <v>43.62827345242242</v>
      </c>
      <c r="F36" s="168">
        <v>78797235.255</v>
      </c>
      <c r="G36" s="168">
        <v>34377873.269999996</v>
      </c>
      <c r="H36" s="326">
        <v>7037237.18</v>
      </c>
      <c r="I36" s="185">
        <f t="shared" si="0"/>
        <v>37382.12480499999</v>
      </c>
    </row>
    <row r="37" spans="1:9" ht="12.75">
      <c r="A37" s="167" t="s">
        <v>35</v>
      </c>
      <c r="B37" s="168">
        <v>442257770561.89</v>
      </c>
      <c r="C37" s="169">
        <v>4568861024</v>
      </c>
      <c r="D37" s="175">
        <v>98.96692351652855</v>
      </c>
      <c r="E37" s="175">
        <v>1.0330764834714472</v>
      </c>
      <c r="F37" s="168">
        <v>6633866558.42835</v>
      </c>
      <c r="G37" s="168">
        <v>68532915.36</v>
      </c>
      <c r="H37" s="326">
        <v>7100542.2</v>
      </c>
      <c r="I37" s="185">
        <f t="shared" si="0"/>
        <v>6558233.100868351</v>
      </c>
    </row>
    <row r="38" spans="1:9" ht="12.75">
      <c r="A38" s="167" t="s">
        <v>36</v>
      </c>
      <c r="B38" s="168">
        <v>5352893338</v>
      </c>
      <c r="C38" s="169">
        <v>2561595309</v>
      </c>
      <c r="D38" s="175">
        <v>52.14559403201021</v>
      </c>
      <c r="E38" s="175">
        <v>47.85440596798979</v>
      </c>
      <c r="F38" s="168">
        <v>80293400.07</v>
      </c>
      <c r="G38" s="170">
        <v>38423929.635</v>
      </c>
      <c r="H38" s="326">
        <v>7479508.92</v>
      </c>
      <c r="I38" s="185">
        <f t="shared" si="0"/>
        <v>34389.961514999995</v>
      </c>
    </row>
    <row r="39" spans="1:9" ht="12.75">
      <c r="A39" s="167" t="s">
        <v>37</v>
      </c>
      <c r="B39" s="171">
        <v>1765470383.6599998</v>
      </c>
      <c r="C39" s="169">
        <v>1023528958</v>
      </c>
      <c r="D39" s="175">
        <v>42.025141431253004</v>
      </c>
      <c r="E39" s="175">
        <v>57.974858568746996</v>
      </c>
      <c r="F39" s="168">
        <v>26482055.754899997</v>
      </c>
      <c r="G39" s="168">
        <v>15352934.37</v>
      </c>
      <c r="H39" s="326">
        <v>3632139.05</v>
      </c>
      <c r="I39" s="185">
        <f t="shared" si="0"/>
        <v>7496.982334899997</v>
      </c>
    </row>
    <row r="40" spans="1:9" ht="12.75">
      <c r="A40" s="167" t="s">
        <v>38</v>
      </c>
      <c r="B40" s="168">
        <v>7246626765</v>
      </c>
      <c r="C40" s="169">
        <v>2978475181</v>
      </c>
      <c r="D40" s="175">
        <v>58.898460241038784</v>
      </c>
      <c r="E40" s="175">
        <v>41.101539758961216</v>
      </c>
      <c r="F40" s="168">
        <v>108699401.475</v>
      </c>
      <c r="G40" s="170">
        <v>44677127.714999996</v>
      </c>
      <c r="H40" s="326">
        <v>11131739.38</v>
      </c>
      <c r="I40" s="185">
        <f t="shared" si="0"/>
        <v>52890.534380000005</v>
      </c>
    </row>
    <row r="41" spans="1:9" ht="12.75">
      <c r="A41" s="167" t="s">
        <v>39</v>
      </c>
      <c r="B41" s="171">
        <v>139801909393</v>
      </c>
      <c r="C41" s="169">
        <v>69914177384</v>
      </c>
      <c r="D41" s="175">
        <v>49.99054184055324</v>
      </c>
      <c r="E41" s="175">
        <v>50.00945815944676</v>
      </c>
      <c r="F41" s="168">
        <v>2097028640.895</v>
      </c>
      <c r="G41" s="168">
        <v>1048712660.76</v>
      </c>
      <c r="H41" s="326">
        <v>51071321.43</v>
      </c>
      <c r="I41" s="185">
        <f t="shared" si="0"/>
        <v>997244.658705</v>
      </c>
    </row>
    <row r="42" spans="1:9" ht="12.75">
      <c r="A42" s="167" t="s">
        <v>40</v>
      </c>
      <c r="B42" s="168">
        <v>131818582019</v>
      </c>
      <c r="C42" s="169">
        <v>29230350241</v>
      </c>
      <c r="D42" s="175">
        <v>77.82531886377991</v>
      </c>
      <c r="E42" s="175">
        <v>22.174681136220087</v>
      </c>
      <c r="F42" s="168">
        <v>1977278730.2849998</v>
      </c>
      <c r="G42" s="170">
        <v>438455253.615</v>
      </c>
      <c r="H42" s="326">
        <v>7256706.04</v>
      </c>
      <c r="I42" s="185">
        <f t="shared" si="0"/>
        <v>1531566.77063</v>
      </c>
    </row>
    <row r="43" spans="1:9" ht="12.75">
      <c r="A43" s="167" t="s">
        <v>41</v>
      </c>
      <c r="B43" s="168">
        <v>14185784328</v>
      </c>
      <c r="C43" s="169">
        <v>4985522290</v>
      </c>
      <c r="D43" s="175">
        <v>64.85550481576446</v>
      </c>
      <c r="E43" s="175">
        <v>35.14449518423554</v>
      </c>
      <c r="F43" s="168">
        <v>212786764.92</v>
      </c>
      <c r="G43" s="168">
        <v>74782834.35</v>
      </c>
      <c r="H43" s="326">
        <v>5654162.45</v>
      </c>
      <c r="I43" s="185">
        <f t="shared" si="0"/>
        <v>132349.76812</v>
      </c>
    </row>
    <row r="44" spans="1:9" ht="12.75">
      <c r="A44" s="167" t="s">
        <v>42</v>
      </c>
      <c r="B44" s="168">
        <v>4184058076</v>
      </c>
      <c r="C44" s="169">
        <v>2324232184</v>
      </c>
      <c r="D44" s="175">
        <v>44.450288648431275</v>
      </c>
      <c r="E44" s="175">
        <v>55.549711351568725</v>
      </c>
      <c r="F44" s="168">
        <v>62760871.14</v>
      </c>
      <c r="G44" s="168">
        <v>34863482.76</v>
      </c>
      <c r="H44" s="326">
        <v>2727979.68</v>
      </c>
      <c r="I44" s="185">
        <f t="shared" si="0"/>
        <v>25169.408700000004</v>
      </c>
    </row>
    <row r="45" spans="1:9" ht="12.75">
      <c r="A45" s="167" t="s">
        <v>43</v>
      </c>
      <c r="B45" s="168">
        <v>1586210917</v>
      </c>
      <c r="C45" s="169">
        <v>586152573</v>
      </c>
      <c r="D45" s="175">
        <v>63.04699666872864</v>
      </c>
      <c r="E45" s="175">
        <v>36.95300333127136</v>
      </c>
      <c r="F45" s="168">
        <v>23793163.755</v>
      </c>
      <c r="G45" s="168">
        <v>8792288.594999999</v>
      </c>
      <c r="H45" s="326">
        <v>1545936</v>
      </c>
      <c r="I45" s="185">
        <f t="shared" si="0"/>
        <v>13454.93916</v>
      </c>
    </row>
    <row r="46" spans="1:9" ht="12.75">
      <c r="A46" s="167" t="s">
        <v>44</v>
      </c>
      <c r="B46" s="168">
        <v>4442760895.860001</v>
      </c>
      <c r="C46" s="169">
        <v>717698185.8600004</v>
      </c>
      <c r="D46" s="175">
        <v>83.84567158388403</v>
      </c>
      <c r="E46" s="175">
        <v>16.154328416115973</v>
      </c>
      <c r="F46" s="168">
        <v>66641413.43790001</v>
      </c>
      <c r="G46" s="168">
        <v>10765472.787900005</v>
      </c>
      <c r="H46" s="326">
        <v>16028776.66</v>
      </c>
      <c r="I46" s="185">
        <f t="shared" si="0"/>
        <v>39847.16399000001</v>
      </c>
    </row>
    <row r="47" spans="1:9" ht="12.75">
      <c r="A47" s="167" t="s">
        <v>180</v>
      </c>
      <c r="B47" s="174">
        <f>SUM(B10:B46)</f>
        <v>2443034892350.6978</v>
      </c>
      <c r="C47" s="174">
        <f>SUM(C10:C46)</f>
        <v>1123914191602.9302</v>
      </c>
      <c r="D47" s="175">
        <f>100-E47</f>
        <v>53.995164165604876</v>
      </c>
      <c r="E47" s="175">
        <f>C47/B47*100</f>
        <v>46.004835834395124</v>
      </c>
      <c r="F47" s="176">
        <f>SUM(F10:F46)</f>
        <v>36645523385.26046</v>
      </c>
      <c r="G47" s="176">
        <f>SUM(G10:G46)</f>
        <v>16858712874.043951</v>
      </c>
      <c r="H47" s="176">
        <f>SUM(H10:H46)</f>
        <v>3272042219.4999995</v>
      </c>
      <c r="I47" s="185">
        <f>SUM(I10:I46)</f>
        <v>16514768.291716523</v>
      </c>
    </row>
    <row r="48" ht="11.25" customHeight="1"/>
    <row r="49" spans="3:4" ht="17.25">
      <c r="C49" s="179" t="s">
        <v>181</v>
      </c>
      <c r="D49" s="180">
        <f>SUM(D10:D46)/37</f>
        <v>57.0593840731997</v>
      </c>
    </row>
    <row r="52" spans="2:7" ht="15.75">
      <c r="B52" s="349"/>
      <c r="C52" s="349"/>
      <c r="F52" s="349"/>
      <c r="G52" s="349"/>
    </row>
    <row r="53" spans="2:3" ht="15.75">
      <c r="B53" s="349"/>
      <c r="C53" s="349"/>
    </row>
  </sheetData>
  <sheetProtection/>
  <mergeCells count="10">
    <mergeCell ref="A5:I5"/>
    <mergeCell ref="I7:I8"/>
    <mergeCell ref="H7:H8"/>
    <mergeCell ref="F7:F8"/>
    <mergeCell ref="G7:G8"/>
    <mergeCell ref="A7:A8"/>
    <mergeCell ref="B7:B8"/>
    <mergeCell ref="C7:C8"/>
    <mergeCell ref="D7:D8"/>
    <mergeCell ref="E7:E8"/>
  </mergeCells>
  <printOptions/>
  <pageMargins left="0.17" right="0.17" top="0.58" bottom="0.56" header="0.5118110236220472" footer="0.5118110236220472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F64"/>
  <sheetViews>
    <sheetView zoomScalePageLayoutView="0" workbookViewId="0" topLeftCell="A1">
      <pane xSplit="1" ySplit="8" topLeftCell="L32" activePane="bottomRight" state="frozen"/>
      <selection pane="topLeft" activeCell="D39" sqref="D39"/>
      <selection pane="topRight" activeCell="D39" sqref="D39"/>
      <selection pane="bottomLeft" activeCell="D39" sqref="D39"/>
      <selection pane="bottomRight" activeCell="A5" sqref="A5:AD50"/>
    </sheetView>
  </sheetViews>
  <sheetFormatPr defaultColWidth="9.00390625" defaultRowHeight="12.75"/>
  <cols>
    <col min="1" max="1" width="18.25390625" style="0" customWidth="1"/>
    <col min="2" max="2" width="12.625" style="0" hidden="1" customWidth="1"/>
    <col min="3" max="4" width="12.625" style="0" customWidth="1"/>
    <col min="5" max="5" width="13.25390625" style="0" hidden="1" customWidth="1"/>
    <col min="6" max="7" width="0.12890625" style="0" hidden="1" customWidth="1"/>
    <col min="8" max="8" width="9.625" style="0" hidden="1" customWidth="1"/>
    <col min="9" max="9" width="17.125" style="0" hidden="1" customWidth="1"/>
    <col min="10" max="10" width="11.125" style="0" hidden="1" customWidth="1"/>
    <col min="11" max="11" width="0.12890625" style="0" hidden="1" customWidth="1"/>
    <col min="12" max="12" width="13.00390625" style="0" customWidth="1"/>
    <col min="13" max="13" width="14.375" style="0" customWidth="1"/>
    <col min="14" max="14" width="13.375" style="0" customWidth="1"/>
    <col min="15" max="15" width="13.00390625" style="156" customWidth="1"/>
    <col min="16" max="16" width="13.25390625" style="0" hidden="1" customWidth="1"/>
    <col min="17" max="17" width="11.625" style="0" hidden="1" customWidth="1"/>
    <col min="18" max="18" width="12.625" style="0" hidden="1" customWidth="1"/>
    <col min="19" max="19" width="12.875" style="0" hidden="1" customWidth="1"/>
    <col min="20" max="20" width="9.25390625" style="0" hidden="1" customWidth="1"/>
    <col min="21" max="21" width="9.875" style="0" hidden="1" customWidth="1"/>
    <col min="22" max="22" width="16.25390625" style="0" customWidth="1"/>
    <col min="23" max="23" width="14.75390625" style="0" hidden="1" customWidth="1"/>
    <col min="24" max="24" width="14.25390625" style="0" customWidth="1"/>
    <col min="25" max="25" width="15.875" style="0" customWidth="1"/>
    <col min="26" max="27" width="16.625" style="0" hidden="1" customWidth="1"/>
    <col min="28" max="28" width="14.375" style="0" hidden="1" customWidth="1"/>
    <col min="29" max="30" width="17.125" style="0" customWidth="1"/>
    <col min="31" max="31" width="16.00390625" style="0" hidden="1" customWidth="1"/>
    <col min="32" max="32" width="16.375" style="0" hidden="1" customWidth="1"/>
  </cols>
  <sheetData>
    <row r="1" ht="12.75">
      <c r="AD1" s="220" t="s">
        <v>199</v>
      </c>
    </row>
    <row r="2" ht="10.5" customHeight="1">
      <c r="A2" s="116"/>
    </row>
    <row r="3" ht="12.75" hidden="1">
      <c r="A3" s="116"/>
    </row>
    <row r="4" ht="12.75">
      <c r="A4" s="116"/>
    </row>
    <row r="5" spans="1:30" ht="33.75" customHeight="1">
      <c r="A5" s="408" t="s">
        <v>236</v>
      </c>
      <c r="B5" s="409"/>
      <c r="C5" s="409"/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409"/>
      <c r="P5" s="409"/>
      <c r="Q5" s="409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</row>
    <row r="6" spans="1:30" ht="23.25" customHeight="1">
      <c r="A6" s="221"/>
      <c r="B6" s="209"/>
      <c r="C6" s="209"/>
      <c r="D6" s="209"/>
      <c r="E6" s="209"/>
      <c r="F6" s="209"/>
      <c r="G6" s="208"/>
      <c r="H6" s="208"/>
      <c r="I6" s="209"/>
      <c r="J6" s="209"/>
      <c r="K6" s="209"/>
      <c r="L6" s="209"/>
      <c r="M6" s="209"/>
      <c r="N6" s="209"/>
      <c r="O6" s="272"/>
      <c r="P6" s="208"/>
      <c r="Q6" s="208"/>
      <c r="R6" s="222"/>
      <c r="S6" s="214"/>
      <c r="T6" s="214"/>
      <c r="U6" s="222"/>
      <c r="V6" s="222"/>
      <c r="W6" s="222"/>
      <c r="X6" s="222"/>
      <c r="Y6" s="222"/>
      <c r="Z6" s="222"/>
      <c r="AA6" s="222"/>
      <c r="AB6" s="222"/>
      <c r="AC6" s="222"/>
      <c r="AD6" s="222"/>
    </row>
    <row r="7" spans="1:32" ht="50.25" customHeight="1">
      <c r="A7" s="410"/>
      <c r="B7" s="410" t="s">
        <v>127</v>
      </c>
      <c r="C7" s="410" t="s">
        <v>126</v>
      </c>
      <c r="D7" s="410" t="s">
        <v>219</v>
      </c>
      <c r="E7" s="410" t="s">
        <v>128</v>
      </c>
      <c r="F7" s="118"/>
      <c r="G7" s="412" t="s">
        <v>129</v>
      </c>
      <c r="H7" s="413"/>
      <c r="I7" s="410" t="s">
        <v>130</v>
      </c>
      <c r="J7" s="410" t="s">
        <v>131</v>
      </c>
      <c r="K7" s="410" t="s">
        <v>132</v>
      </c>
      <c r="L7" s="410" t="s">
        <v>220</v>
      </c>
      <c r="M7" s="410" t="s">
        <v>221</v>
      </c>
      <c r="N7" s="410" t="s">
        <v>191</v>
      </c>
      <c r="O7" s="419" t="s">
        <v>133</v>
      </c>
      <c r="P7" s="412" t="s">
        <v>134</v>
      </c>
      <c r="Q7" s="413"/>
      <c r="R7" s="410" t="s">
        <v>135</v>
      </c>
      <c r="S7" s="412" t="s">
        <v>136</v>
      </c>
      <c r="T7" s="414"/>
      <c r="U7" s="410" t="s">
        <v>137</v>
      </c>
      <c r="V7" s="410" t="s">
        <v>224</v>
      </c>
      <c r="W7" s="410" t="s">
        <v>138</v>
      </c>
      <c r="X7" s="410" t="s">
        <v>139</v>
      </c>
      <c r="Y7" s="410" t="s">
        <v>140</v>
      </c>
      <c r="Z7" s="410"/>
      <c r="AA7" s="410"/>
      <c r="AB7" s="425"/>
      <c r="AC7" s="410" t="s">
        <v>209</v>
      </c>
      <c r="AD7" s="410" t="s">
        <v>141</v>
      </c>
      <c r="AE7" s="410" t="s">
        <v>142</v>
      </c>
      <c r="AF7" s="410" t="s">
        <v>192</v>
      </c>
    </row>
    <row r="8" spans="1:32" ht="43.5" customHeight="1">
      <c r="A8" s="411"/>
      <c r="B8" s="411"/>
      <c r="C8" s="390"/>
      <c r="D8" s="411"/>
      <c r="E8" s="411"/>
      <c r="F8" s="119"/>
      <c r="G8" s="117" t="s">
        <v>143</v>
      </c>
      <c r="H8" s="120" t="s">
        <v>144</v>
      </c>
      <c r="I8" s="411"/>
      <c r="J8" s="411"/>
      <c r="K8" s="411"/>
      <c r="L8" s="411"/>
      <c r="M8" s="411"/>
      <c r="N8" s="411"/>
      <c r="O8" s="420"/>
      <c r="P8" s="117" t="s">
        <v>143</v>
      </c>
      <c r="Q8" s="117" t="s">
        <v>144</v>
      </c>
      <c r="R8" s="411"/>
      <c r="S8" s="117" t="s">
        <v>143</v>
      </c>
      <c r="T8" s="118" t="s">
        <v>144</v>
      </c>
      <c r="U8" s="411"/>
      <c r="V8" s="411"/>
      <c r="W8" s="411"/>
      <c r="X8" s="411"/>
      <c r="Y8" s="411"/>
      <c r="Z8" s="411"/>
      <c r="AA8" s="411"/>
      <c r="AB8" s="426"/>
      <c r="AC8" s="397"/>
      <c r="AD8" s="411"/>
      <c r="AE8" s="411"/>
      <c r="AF8" s="411"/>
    </row>
    <row r="9" spans="1:32" s="148" customFormat="1" ht="12.75">
      <c r="A9" s="134" t="s">
        <v>145</v>
      </c>
      <c r="B9" s="145">
        <f>3307393000/1000</f>
        <v>3307393</v>
      </c>
      <c r="C9" s="415" t="s">
        <v>211</v>
      </c>
      <c r="D9" s="145">
        <v>6258223.82307</v>
      </c>
      <c r="E9" s="137"/>
      <c r="F9" s="137"/>
      <c r="G9" s="137"/>
      <c r="H9" s="137"/>
      <c r="I9" s="146"/>
      <c r="J9" s="137">
        <f>D9/B9*100</f>
        <v>189.21923772197619</v>
      </c>
      <c r="K9" s="137"/>
      <c r="L9" s="145">
        <f>D9*106.7/100</f>
        <v>6677524.81921569</v>
      </c>
      <c r="M9" s="137">
        <v>6502037</v>
      </c>
      <c r="N9" s="137">
        <v>1133798</v>
      </c>
      <c r="O9" s="345">
        <f>D9/X9*1000</f>
        <v>10088.13312227676</v>
      </c>
      <c r="P9" s="137">
        <f>K9-D9</f>
        <v>-6258223.82307</v>
      </c>
      <c r="Q9" s="137">
        <f>K9/D9*100-100</f>
        <v>-100</v>
      </c>
      <c r="R9" s="137">
        <v>8412807.963902973</v>
      </c>
      <c r="S9" s="137">
        <f>R9-K9</f>
        <v>8412807.963902973</v>
      </c>
      <c r="T9" s="137" t="e">
        <f>R9/K9*100-100</f>
        <v>#DIV/0!</v>
      </c>
      <c r="U9" s="137">
        <v>425762</v>
      </c>
      <c r="V9" s="137">
        <v>18501.9</v>
      </c>
      <c r="W9" s="137">
        <f>U9*V9/1000*12</f>
        <v>94528871.3736</v>
      </c>
      <c r="X9" s="137">
        <v>620355</v>
      </c>
      <c r="Y9" s="150"/>
      <c r="Z9" s="137"/>
      <c r="AA9" s="137"/>
      <c r="AB9" s="137"/>
      <c r="AC9" s="137">
        <f>L9-M9</f>
        <v>175487.8192156898</v>
      </c>
      <c r="AD9" s="137">
        <f>MAX(Y9:AC9)</f>
        <v>175487.8192156898</v>
      </c>
      <c r="AE9" s="147">
        <f>Y9/B9*100</f>
        <v>0</v>
      </c>
      <c r="AF9" s="137">
        <f>AC9/M9*100</f>
        <v>2.6989667886493076</v>
      </c>
    </row>
    <row r="10" spans="1:32" s="148" customFormat="1" ht="12.75">
      <c r="A10" s="136" t="s">
        <v>187</v>
      </c>
      <c r="B10" s="139">
        <f>458083000/1000</f>
        <v>458083</v>
      </c>
      <c r="C10" s="416"/>
      <c r="D10" s="139">
        <v>509528.09756</v>
      </c>
      <c r="E10" s="138"/>
      <c r="F10" s="138"/>
      <c r="G10" s="138"/>
      <c r="H10" s="138"/>
      <c r="I10" s="140"/>
      <c r="J10" s="138">
        <f>D10/B10*100</f>
        <v>111.2305188273741</v>
      </c>
      <c r="K10" s="138"/>
      <c r="L10" s="145">
        <f aca="true" t="shared" si="0" ref="L10:L49">D10*106.7/100</f>
        <v>543666.48009652</v>
      </c>
      <c r="M10" s="138">
        <v>431895</v>
      </c>
      <c r="N10" s="138">
        <v>112309</v>
      </c>
      <c r="O10" s="198">
        <f>D10/X10*1000</f>
        <v>8321.271517507186</v>
      </c>
      <c r="P10" s="138">
        <f>K10-D10</f>
        <v>-509528.09756</v>
      </c>
      <c r="Q10" s="138">
        <f>K10/D10*100-100</f>
        <v>-100</v>
      </c>
      <c r="R10" s="138">
        <v>626659.9176008945</v>
      </c>
      <c r="S10" s="138">
        <f>R10-K10</f>
        <v>626659.9176008945</v>
      </c>
      <c r="T10" s="138" t="e">
        <f>R10/K10*100-100</f>
        <v>#DIV/0!</v>
      </c>
      <c r="U10" s="138">
        <v>36912</v>
      </c>
      <c r="V10" s="138">
        <v>17634.6</v>
      </c>
      <c r="W10" s="138">
        <f>U10*V10/1000*12</f>
        <v>7811140.2623999985</v>
      </c>
      <c r="X10" s="138">
        <v>61232</v>
      </c>
      <c r="Y10" s="150">
        <f>(10088-O10)*X10/1000</f>
        <v>108180.31843999997</v>
      </c>
      <c r="Z10" s="138"/>
      <c r="AA10" s="138"/>
      <c r="AB10" s="138"/>
      <c r="AC10" s="137">
        <f>L10-M10</f>
        <v>111771.48009652004</v>
      </c>
      <c r="AD10" s="137">
        <f>MAX(Y10:AC10)</f>
        <v>111771.48009652004</v>
      </c>
      <c r="AE10" s="149"/>
      <c r="AF10" s="137">
        <f>AC10/M10*100</f>
        <v>25.87931791211291</v>
      </c>
    </row>
    <row r="11" spans="1:32" s="142" customFormat="1" ht="12.75">
      <c r="A11" s="134" t="s">
        <v>146</v>
      </c>
      <c r="B11" s="145">
        <f>2243376000/1000</f>
        <v>2243376</v>
      </c>
      <c r="C11" s="416"/>
      <c r="D11" s="145">
        <v>3017070.9722399996</v>
      </c>
      <c r="E11" s="137"/>
      <c r="F11" s="137"/>
      <c r="G11" s="137"/>
      <c r="H11" s="137"/>
      <c r="I11" s="146"/>
      <c r="J11" s="137">
        <f>D11/B11*100</f>
        <v>134.48797581145558</v>
      </c>
      <c r="K11" s="137"/>
      <c r="L11" s="145">
        <f t="shared" si="0"/>
        <v>3219214.7273800797</v>
      </c>
      <c r="M11" s="137">
        <v>2827376</v>
      </c>
      <c r="N11" s="137">
        <v>721752</v>
      </c>
      <c r="O11" s="198">
        <f>D11/X11*1000</f>
        <v>8013.894422651932</v>
      </c>
      <c r="P11" s="137">
        <f>K11-D11</f>
        <v>-3017070.9722399996</v>
      </c>
      <c r="Q11" s="137">
        <f>K11/D11*100-100</f>
        <v>-100</v>
      </c>
      <c r="R11" s="137">
        <v>5318019.0477067735</v>
      </c>
      <c r="S11" s="137">
        <f>R11-K11</f>
        <v>5318019.0477067735</v>
      </c>
      <c r="T11" s="137" t="e">
        <f>R11/K11*100-100</f>
        <v>#DIV/0!</v>
      </c>
      <c r="U11" s="137">
        <v>255276</v>
      </c>
      <c r="V11" s="137">
        <v>15786.8</v>
      </c>
      <c r="W11" s="137">
        <f>U11*V11/1000*12</f>
        <v>48359893.88159999</v>
      </c>
      <c r="X11" s="137">
        <v>376480</v>
      </c>
      <c r="Y11" s="150">
        <f>(10088-O11)*X11/1000</f>
        <v>780859.2677600008</v>
      </c>
      <c r="Z11" s="137"/>
      <c r="AA11" s="137"/>
      <c r="AB11" s="137"/>
      <c r="AC11" s="137">
        <f>L11-M11</f>
        <v>391838.7273800797</v>
      </c>
      <c r="AD11" s="137">
        <f>MAX(Y11:AC11)</f>
        <v>780859.2677600008</v>
      </c>
      <c r="AE11" s="141"/>
      <c r="AF11" s="138"/>
    </row>
    <row r="12" spans="1:32" s="144" customFormat="1" ht="12.75">
      <c r="A12" s="136" t="s">
        <v>147</v>
      </c>
      <c r="B12" s="139">
        <f>114805000/1000</f>
        <v>114805</v>
      </c>
      <c r="C12" s="417"/>
      <c r="D12" s="139">
        <v>176701.51754</v>
      </c>
      <c r="E12" s="138"/>
      <c r="F12" s="138"/>
      <c r="G12" s="138"/>
      <c r="H12" s="138"/>
      <c r="I12" s="140"/>
      <c r="J12" s="138">
        <f>D12/B12*100</f>
        <v>153.91447893384435</v>
      </c>
      <c r="K12" s="138"/>
      <c r="L12" s="145">
        <f t="shared" si="0"/>
        <v>188540.51921518001</v>
      </c>
      <c r="M12" s="138">
        <v>181805</v>
      </c>
      <c r="N12" s="138">
        <v>47709</v>
      </c>
      <c r="O12" s="198">
        <f>D12/X12*1000</f>
        <v>7035.416369644848</v>
      </c>
      <c r="P12" s="138">
        <f>K12-D12</f>
        <v>-176701.51754</v>
      </c>
      <c r="Q12" s="138">
        <f>K12/D12*100-100</f>
        <v>-100</v>
      </c>
      <c r="R12" s="138">
        <v>191412.2676286395</v>
      </c>
      <c r="S12" s="138">
        <f>R12-K12</f>
        <v>191412.2676286395</v>
      </c>
      <c r="T12" s="138" t="e">
        <f>R12/K12*100-100</f>
        <v>#DIV/0!</v>
      </c>
      <c r="U12" s="138">
        <v>15473</v>
      </c>
      <c r="V12" s="138">
        <v>17558</v>
      </c>
      <c r="W12" s="138">
        <f>U12*V12/1000*12</f>
        <v>3260099.208</v>
      </c>
      <c r="X12" s="138">
        <v>25116</v>
      </c>
      <c r="Y12" s="150">
        <f>(10088-O12)*X12/1000</f>
        <v>76668.69046000001</v>
      </c>
      <c r="Z12" s="138"/>
      <c r="AA12" s="138"/>
      <c r="AB12" s="138"/>
      <c r="AC12" s="137">
        <f>L12-M12</f>
        <v>6735.519215180015</v>
      </c>
      <c r="AD12" s="137">
        <f>MAX(Y12:AC12)</f>
        <v>76668.69046000001</v>
      </c>
      <c r="AE12" s="143">
        <f aca="true" t="shared" si="1" ref="AE12:AE18">Y12/B12*100</f>
        <v>66.78166496232744</v>
      </c>
      <c r="AF12" s="138">
        <f aca="true" t="shared" si="2" ref="AF12:AF18">AC12/M12*100</f>
        <v>3.7048041666510905</v>
      </c>
    </row>
    <row r="13" spans="1:32" s="144" customFormat="1" ht="12.75">
      <c r="A13" s="274"/>
      <c r="B13" s="275"/>
      <c r="C13" s="276"/>
      <c r="D13" s="275"/>
      <c r="E13" s="277"/>
      <c r="F13" s="277"/>
      <c r="G13" s="277"/>
      <c r="H13" s="277"/>
      <c r="I13" s="278"/>
      <c r="J13" s="277"/>
      <c r="K13" s="277"/>
      <c r="L13" s="275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143"/>
      <c r="AF13" s="138"/>
    </row>
    <row r="14" spans="1:32" s="121" customFormat="1" ht="12.75">
      <c r="A14" s="136" t="s">
        <v>188</v>
      </c>
      <c r="B14" s="139">
        <v>28709.49576</v>
      </c>
      <c r="C14" s="418" t="s">
        <v>210</v>
      </c>
      <c r="D14" s="139">
        <v>58543.47723</v>
      </c>
      <c r="E14" s="138"/>
      <c r="F14" s="138"/>
      <c r="G14" s="138"/>
      <c r="H14" s="138"/>
      <c r="I14" s="140"/>
      <c r="J14" s="138">
        <f aca="true" t="shared" si="3" ref="J14:J21">D14/B14*100</f>
        <v>203.91677276187727</v>
      </c>
      <c r="K14" s="138"/>
      <c r="L14" s="145">
        <f t="shared" si="0"/>
        <v>62465.890204409996</v>
      </c>
      <c r="M14" s="138">
        <v>58216</v>
      </c>
      <c r="N14" s="138">
        <v>29056</v>
      </c>
      <c r="O14" s="198">
        <f aca="true" t="shared" si="4" ref="O14:O21">D14/X14*1000</f>
        <v>5044.677055579491</v>
      </c>
      <c r="P14" s="138">
        <f aca="true" t="shared" si="5" ref="P14:P21">K14-D14</f>
        <v>-58543.47723</v>
      </c>
      <c r="Q14" s="138">
        <f aca="true" t="shared" si="6" ref="Q14:Q21">K14/D14*100-100</f>
        <v>-100</v>
      </c>
      <c r="R14" s="138">
        <v>55010.76034495224</v>
      </c>
      <c r="S14" s="138">
        <f aca="true" t="shared" si="7" ref="S14:S21">R14-K14</f>
        <v>55010.76034495224</v>
      </c>
      <c r="T14" s="138" t="e">
        <f aca="true" t="shared" si="8" ref="T14:T21">R14/K14*100-100</f>
        <v>#DIV/0!</v>
      </c>
      <c r="U14" s="138">
        <v>4239</v>
      </c>
      <c r="V14" s="138">
        <v>15355.9</v>
      </c>
      <c r="W14" s="138">
        <f aca="true" t="shared" si="9" ref="W14:W21">U14*V14/1000*12</f>
        <v>781123.9212</v>
      </c>
      <c r="X14" s="138">
        <v>11605</v>
      </c>
      <c r="Y14" s="138">
        <f>(7341-O14)*X14/1000</f>
        <v>26648.827770000007</v>
      </c>
      <c r="Z14" s="138"/>
      <c r="AA14" s="138"/>
      <c r="AB14" s="138"/>
      <c r="AC14" s="137">
        <f>L14-M14</f>
        <v>4249.890204409996</v>
      </c>
      <c r="AD14" s="137">
        <f aca="true" t="shared" si="10" ref="AD14:AD21">MAX(Y14:AC14)</f>
        <v>26648.827770000007</v>
      </c>
      <c r="AE14" s="147">
        <f t="shared" si="1"/>
        <v>92.82234697806481</v>
      </c>
      <c r="AF14" s="147">
        <f t="shared" si="2"/>
        <v>7.300209915504322</v>
      </c>
    </row>
    <row r="15" spans="1:32" s="271" customFormat="1" ht="12.75">
      <c r="A15" s="136" t="s">
        <v>154</v>
      </c>
      <c r="B15" s="139">
        <v>67750</v>
      </c>
      <c r="C15" s="416"/>
      <c r="D15" s="139">
        <v>120535.08919</v>
      </c>
      <c r="E15" s="138"/>
      <c r="F15" s="138"/>
      <c r="G15" s="138"/>
      <c r="H15" s="138"/>
      <c r="I15" s="140"/>
      <c r="J15" s="138">
        <f t="shared" si="3"/>
        <v>177.9115707601476</v>
      </c>
      <c r="K15" s="138"/>
      <c r="L15" s="145">
        <f t="shared" si="0"/>
        <v>128610.94016573</v>
      </c>
      <c r="M15" s="138">
        <v>126605</v>
      </c>
      <c r="N15" s="138">
        <v>44636</v>
      </c>
      <c r="O15" s="198">
        <f t="shared" si="4"/>
        <v>5796.070840065397</v>
      </c>
      <c r="P15" s="138">
        <f t="shared" si="5"/>
        <v>-120535.08919</v>
      </c>
      <c r="Q15" s="138">
        <f t="shared" si="6"/>
        <v>-100</v>
      </c>
      <c r="R15" s="138">
        <v>109146.7139486307</v>
      </c>
      <c r="S15" s="138">
        <f t="shared" si="7"/>
        <v>109146.7139486307</v>
      </c>
      <c r="T15" s="138" t="e">
        <f t="shared" si="8"/>
        <v>#DIV/0!</v>
      </c>
      <c r="U15" s="138">
        <v>9894</v>
      </c>
      <c r="V15" s="138">
        <v>14957</v>
      </c>
      <c r="W15" s="138">
        <f t="shared" si="9"/>
        <v>1775814.696</v>
      </c>
      <c r="X15" s="138">
        <v>20796</v>
      </c>
      <c r="Y15" s="138">
        <f>(7341-O15)*X15/1000</f>
        <v>32128.346810000014</v>
      </c>
      <c r="Z15" s="138"/>
      <c r="AA15" s="138"/>
      <c r="AB15" s="138"/>
      <c r="AC15" s="137">
        <f>L15-M15</f>
        <v>2005.940165730004</v>
      </c>
      <c r="AD15" s="137">
        <f t="shared" si="10"/>
        <v>32128.346810000014</v>
      </c>
      <c r="AE15" s="270">
        <f t="shared" si="1"/>
        <v>47.421914110701124</v>
      </c>
      <c r="AF15" s="270">
        <f t="shared" si="2"/>
        <v>1.5844083296315343</v>
      </c>
    </row>
    <row r="16" spans="1:32" s="144" customFormat="1" ht="12.75">
      <c r="A16" s="136" t="s">
        <v>151</v>
      </c>
      <c r="B16" s="139">
        <v>157109.9</v>
      </c>
      <c r="C16" s="416"/>
      <c r="D16" s="139">
        <v>269079.40025999997</v>
      </c>
      <c r="E16" s="138"/>
      <c r="F16" s="138"/>
      <c r="G16" s="138"/>
      <c r="H16" s="138"/>
      <c r="I16" s="140"/>
      <c r="J16" s="138">
        <f t="shared" si="3"/>
        <v>171.2682652461748</v>
      </c>
      <c r="K16" s="138"/>
      <c r="L16" s="145">
        <f t="shared" si="0"/>
        <v>287107.72007742</v>
      </c>
      <c r="M16" s="138">
        <v>323898.91</v>
      </c>
      <c r="N16" s="138">
        <v>82277</v>
      </c>
      <c r="O16" s="345">
        <f t="shared" si="4"/>
        <v>7340.664564054997</v>
      </c>
      <c r="P16" s="138">
        <f t="shared" si="5"/>
        <v>-269079.40025999997</v>
      </c>
      <c r="Q16" s="138">
        <f t="shared" si="6"/>
        <v>-100</v>
      </c>
      <c r="R16" s="138">
        <v>305357.70381084667</v>
      </c>
      <c r="S16" s="138">
        <f t="shared" si="7"/>
        <v>305357.70381084667</v>
      </c>
      <c r="T16" s="138" t="e">
        <f t="shared" si="8"/>
        <v>#DIV/0!</v>
      </c>
      <c r="U16" s="138">
        <v>20484</v>
      </c>
      <c r="V16" s="138">
        <v>14340.3</v>
      </c>
      <c r="W16" s="138">
        <f t="shared" si="9"/>
        <v>3524960.4623999996</v>
      </c>
      <c r="X16" s="138">
        <v>36656</v>
      </c>
      <c r="Y16" s="138"/>
      <c r="Z16" s="138"/>
      <c r="AA16" s="138"/>
      <c r="AB16" s="138"/>
      <c r="AC16" s="137"/>
      <c r="AD16" s="137">
        <f t="shared" si="10"/>
        <v>0</v>
      </c>
      <c r="AE16" s="147">
        <f t="shared" si="1"/>
        <v>0</v>
      </c>
      <c r="AF16" s="147">
        <f t="shared" si="2"/>
        <v>0</v>
      </c>
    </row>
    <row r="17" spans="1:32" s="142" customFormat="1" ht="12.75">
      <c r="A17" s="267" t="s">
        <v>153</v>
      </c>
      <c r="B17" s="268">
        <v>62492</v>
      </c>
      <c r="C17" s="416"/>
      <c r="D17" s="268">
        <v>100756.88759999999</v>
      </c>
      <c r="E17" s="198"/>
      <c r="F17" s="198"/>
      <c r="G17" s="198"/>
      <c r="H17" s="198"/>
      <c r="I17" s="269"/>
      <c r="J17" s="198">
        <f t="shared" si="3"/>
        <v>161.23165781219996</v>
      </c>
      <c r="K17" s="198"/>
      <c r="L17" s="145">
        <f t="shared" si="0"/>
        <v>107507.59906919999</v>
      </c>
      <c r="M17" s="198">
        <v>101329</v>
      </c>
      <c r="N17" s="198">
        <v>31672</v>
      </c>
      <c r="O17" s="198">
        <f t="shared" si="4"/>
        <v>6516.8415755772585</v>
      </c>
      <c r="P17" s="198">
        <f t="shared" si="5"/>
        <v>-100756.88759999999</v>
      </c>
      <c r="Q17" s="198">
        <f t="shared" si="6"/>
        <v>-100</v>
      </c>
      <c r="R17" s="198">
        <v>98434.38319321602</v>
      </c>
      <c r="S17" s="198">
        <f t="shared" si="7"/>
        <v>98434.38319321602</v>
      </c>
      <c r="T17" s="198" t="e">
        <f t="shared" si="8"/>
        <v>#DIV/0!</v>
      </c>
      <c r="U17" s="198">
        <v>7328</v>
      </c>
      <c r="V17" s="198">
        <v>15284.5</v>
      </c>
      <c r="W17" s="198">
        <f t="shared" si="9"/>
        <v>1344057.7920000001</v>
      </c>
      <c r="X17" s="198">
        <v>15461</v>
      </c>
      <c r="Y17" s="138">
        <f>(7341-O17)*X17/1000</f>
        <v>12742.313400000006</v>
      </c>
      <c r="Z17" s="198"/>
      <c r="AA17" s="198"/>
      <c r="AB17" s="198"/>
      <c r="AC17" s="137">
        <f>L17-M17</f>
        <v>6178.5990691999905</v>
      </c>
      <c r="AD17" s="198">
        <f t="shared" si="10"/>
        <v>12742.313400000006</v>
      </c>
      <c r="AE17" s="147">
        <f t="shared" si="1"/>
        <v>20.390311399859193</v>
      </c>
      <c r="AF17" s="147">
        <f t="shared" si="2"/>
        <v>6.0975624640527295</v>
      </c>
    </row>
    <row r="18" spans="1:32" s="144" customFormat="1" ht="12.75">
      <c r="A18" s="136" t="s">
        <v>150</v>
      </c>
      <c r="B18" s="139">
        <v>75881</v>
      </c>
      <c r="C18" s="417"/>
      <c r="D18" s="139">
        <v>127957.21239</v>
      </c>
      <c r="E18" s="138"/>
      <c r="F18" s="138"/>
      <c r="G18" s="138"/>
      <c r="H18" s="138"/>
      <c r="I18" s="140"/>
      <c r="J18" s="138">
        <f t="shared" si="3"/>
        <v>168.62879032959503</v>
      </c>
      <c r="K18" s="138"/>
      <c r="L18" s="145">
        <f t="shared" si="0"/>
        <v>136530.34562013</v>
      </c>
      <c r="M18" s="138">
        <v>139000</v>
      </c>
      <c r="N18" s="138">
        <v>50787</v>
      </c>
      <c r="O18" s="198">
        <f t="shared" si="4"/>
        <v>5982.384047407546</v>
      </c>
      <c r="P18" s="138">
        <f t="shared" si="5"/>
        <v>-127957.21239</v>
      </c>
      <c r="Q18" s="138">
        <f t="shared" si="6"/>
        <v>-100</v>
      </c>
      <c r="R18" s="138">
        <v>157641.38452096735</v>
      </c>
      <c r="S18" s="138">
        <f t="shared" si="7"/>
        <v>157641.38452096735</v>
      </c>
      <c r="T18" s="138" t="e">
        <f t="shared" si="8"/>
        <v>#DIV/0!</v>
      </c>
      <c r="U18" s="138">
        <v>12025</v>
      </c>
      <c r="V18" s="138">
        <v>14375.1</v>
      </c>
      <c r="W18" s="138">
        <f t="shared" si="9"/>
        <v>2074326.9300000002</v>
      </c>
      <c r="X18" s="138">
        <v>21389</v>
      </c>
      <c r="Y18" s="138">
        <f>(7341-O18)*X18/1000</f>
        <v>29059.43661</v>
      </c>
      <c r="Z18" s="138"/>
      <c r="AA18" s="138"/>
      <c r="AB18" s="138"/>
      <c r="AC18" s="137"/>
      <c r="AD18" s="137">
        <f t="shared" si="10"/>
        <v>29059.43661</v>
      </c>
      <c r="AE18" s="147">
        <f t="shared" si="1"/>
        <v>38.2960643771168</v>
      </c>
      <c r="AF18" s="147">
        <f t="shared" si="2"/>
        <v>0</v>
      </c>
    </row>
    <row r="19" spans="1:32" s="144" customFormat="1" ht="12.75">
      <c r="A19" s="134" t="s">
        <v>149</v>
      </c>
      <c r="B19" s="145">
        <v>90531</v>
      </c>
      <c r="C19" s="344"/>
      <c r="D19" s="145">
        <v>123315.1733</v>
      </c>
      <c r="E19" s="145"/>
      <c r="F19" s="145"/>
      <c r="G19" s="145"/>
      <c r="H19" s="145"/>
      <c r="I19" s="145"/>
      <c r="J19" s="137">
        <f t="shared" si="3"/>
        <v>136.21320133434955</v>
      </c>
      <c r="K19" s="145"/>
      <c r="L19" s="145">
        <f>D19*106.7/100</f>
        <v>131577.2899111</v>
      </c>
      <c r="M19" s="138">
        <v>116820</v>
      </c>
      <c r="N19" s="138">
        <v>62553</v>
      </c>
      <c r="O19" s="198">
        <f t="shared" si="4"/>
        <v>4476.049847549909</v>
      </c>
      <c r="P19" s="145">
        <f t="shared" si="5"/>
        <v>-123315.1733</v>
      </c>
      <c r="Q19" s="145">
        <f t="shared" si="6"/>
        <v>-100</v>
      </c>
      <c r="R19" s="145">
        <v>170702.9242024401</v>
      </c>
      <c r="S19" s="145">
        <f t="shared" si="7"/>
        <v>170702.9242024401</v>
      </c>
      <c r="T19" s="145" t="e">
        <f t="shared" si="8"/>
        <v>#DIV/0!</v>
      </c>
      <c r="U19" s="145">
        <v>14237</v>
      </c>
      <c r="V19" s="137">
        <v>13806.7</v>
      </c>
      <c r="W19" s="137">
        <f t="shared" si="9"/>
        <v>2358791.8548</v>
      </c>
      <c r="X19" s="137">
        <v>27550</v>
      </c>
      <c r="Y19" s="138">
        <f>(7341-O19)*X19/1000</f>
        <v>78929.37670000001</v>
      </c>
      <c r="Z19" s="137"/>
      <c r="AA19" s="137"/>
      <c r="AB19" s="137"/>
      <c r="AC19" s="137">
        <f>L19-M19</f>
        <v>14757.2899111</v>
      </c>
      <c r="AD19" s="137">
        <f t="shared" si="10"/>
        <v>78929.37670000001</v>
      </c>
      <c r="AE19" s="135">
        <f>Y19/B19*100</f>
        <v>87.18491643746343</v>
      </c>
      <c r="AF19" s="135">
        <f>AC19/M19*100</f>
        <v>12.632502919962334</v>
      </c>
    </row>
    <row r="20" spans="1:32" s="144" customFormat="1" ht="12.75">
      <c r="A20" s="134" t="s">
        <v>156</v>
      </c>
      <c r="B20" s="145">
        <v>34401.7</v>
      </c>
      <c r="C20" s="344"/>
      <c r="D20" s="145">
        <v>52922.851350000004</v>
      </c>
      <c r="E20" s="137"/>
      <c r="F20" s="137"/>
      <c r="G20" s="137"/>
      <c r="H20" s="137"/>
      <c r="I20" s="146"/>
      <c r="J20" s="137">
        <f t="shared" si="3"/>
        <v>153.83789565631935</v>
      </c>
      <c r="K20" s="137"/>
      <c r="L20" s="145">
        <f>D20*106.7/100</f>
        <v>56468.682390450005</v>
      </c>
      <c r="M20" s="137">
        <v>57784</v>
      </c>
      <c r="N20" s="137">
        <v>27800</v>
      </c>
      <c r="O20" s="198">
        <f t="shared" si="4"/>
        <v>5058.578794685529</v>
      </c>
      <c r="P20" s="137">
        <f t="shared" si="5"/>
        <v>-52922.851350000004</v>
      </c>
      <c r="Q20" s="137">
        <f t="shared" si="6"/>
        <v>-100</v>
      </c>
      <c r="R20" s="137">
        <v>60969.7659985001</v>
      </c>
      <c r="S20" s="137">
        <f t="shared" si="7"/>
        <v>60969.7659985001</v>
      </c>
      <c r="T20" s="137" t="e">
        <f t="shared" si="8"/>
        <v>#DIV/0!</v>
      </c>
      <c r="U20" s="137">
        <v>4686</v>
      </c>
      <c r="V20" s="137">
        <v>14414.1</v>
      </c>
      <c r="W20" s="137">
        <f t="shared" si="9"/>
        <v>810533.6712000001</v>
      </c>
      <c r="X20" s="137">
        <v>10462</v>
      </c>
      <c r="Y20" s="138">
        <f>(7341-O20)*X20/1000</f>
        <v>23878.690649999993</v>
      </c>
      <c r="Z20" s="137"/>
      <c r="AA20" s="137"/>
      <c r="AB20" s="137"/>
      <c r="AC20" s="137"/>
      <c r="AD20" s="137">
        <f t="shared" si="10"/>
        <v>23878.690649999993</v>
      </c>
      <c r="AE20" s="147">
        <f>Y20/B20*100</f>
        <v>69.41136818819999</v>
      </c>
      <c r="AF20" s="147">
        <f>AC20/M20*100</f>
        <v>0</v>
      </c>
    </row>
    <row r="21" spans="1:32" s="144" customFormat="1" ht="12.75">
      <c r="A21" s="134" t="s">
        <v>157</v>
      </c>
      <c r="B21" s="145">
        <v>46620</v>
      </c>
      <c r="C21" s="344"/>
      <c r="D21" s="145">
        <v>74562.3267</v>
      </c>
      <c r="E21" s="137"/>
      <c r="F21" s="137"/>
      <c r="G21" s="137"/>
      <c r="H21" s="137"/>
      <c r="I21" s="146"/>
      <c r="J21" s="137">
        <f t="shared" si="3"/>
        <v>159.93635070785072</v>
      </c>
      <c r="K21" s="137"/>
      <c r="L21" s="145">
        <f>D21*106.7/100</f>
        <v>79558.00258890001</v>
      </c>
      <c r="M21" s="137">
        <v>74000</v>
      </c>
      <c r="N21" s="137">
        <v>29101</v>
      </c>
      <c r="O21" s="198">
        <f t="shared" si="4"/>
        <v>5313.3561391006915</v>
      </c>
      <c r="P21" s="137">
        <f t="shared" si="5"/>
        <v>-74562.3267</v>
      </c>
      <c r="Q21" s="137">
        <f t="shared" si="6"/>
        <v>-100</v>
      </c>
      <c r="R21" s="137">
        <v>88977.42549366232</v>
      </c>
      <c r="S21" s="137">
        <f t="shared" si="7"/>
        <v>88977.42549366232</v>
      </c>
      <c r="T21" s="137" t="e">
        <f t="shared" si="8"/>
        <v>#DIV/0!</v>
      </c>
      <c r="U21" s="137">
        <v>6929</v>
      </c>
      <c r="V21" s="137">
        <v>13325.8</v>
      </c>
      <c r="W21" s="137">
        <f t="shared" si="9"/>
        <v>1108013.6183999998</v>
      </c>
      <c r="X21" s="137">
        <v>14033</v>
      </c>
      <c r="Y21" s="138">
        <f>(7341-O21)*X21/1000</f>
        <v>28453.926299999996</v>
      </c>
      <c r="Z21" s="137"/>
      <c r="AA21" s="137"/>
      <c r="AB21" s="137"/>
      <c r="AC21" s="137">
        <f>L21-M21</f>
        <v>5558.00258890001</v>
      </c>
      <c r="AD21" s="137">
        <f t="shared" si="10"/>
        <v>28453.926299999996</v>
      </c>
      <c r="AE21" s="147">
        <f>Y21/B21*100</f>
        <v>61.033732947232934</v>
      </c>
      <c r="AF21" s="147"/>
    </row>
    <row r="22" spans="1:32" s="144" customFormat="1" ht="12.75">
      <c r="A22" s="274"/>
      <c r="B22" s="275"/>
      <c r="C22" s="276"/>
      <c r="D22" s="275"/>
      <c r="E22" s="277"/>
      <c r="F22" s="277"/>
      <c r="G22" s="277"/>
      <c r="H22" s="277"/>
      <c r="I22" s="278"/>
      <c r="J22" s="277"/>
      <c r="K22" s="277"/>
      <c r="L22" s="275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147"/>
      <c r="AF22" s="147"/>
    </row>
    <row r="23" spans="1:32" s="144" customFormat="1" ht="12.75">
      <c r="A23" s="134" t="s">
        <v>155</v>
      </c>
      <c r="B23" s="145">
        <f>62406300/1000</f>
        <v>62406.3</v>
      </c>
      <c r="C23" s="416"/>
      <c r="D23" s="145">
        <v>114620.83081999999</v>
      </c>
      <c r="E23" s="137"/>
      <c r="F23" s="137"/>
      <c r="G23" s="137"/>
      <c r="H23" s="137"/>
      <c r="I23" s="146"/>
      <c r="J23" s="137">
        <f aca="true" t="shared" si="11" ref="J23:J29">D23/B23*100</f>
        <v>183.66868540515938</v>
      </c>
      <c r="K23" s="137"/>
      <c r="L23" s="145">
        <f t="shared" si="0"/>
        <v>122300.42648493999</v>
      </c>
      <c r="M23" s="137">
        <v>103600</v>
      </c>
      <c r="N23" s="137">
        <v>73375</v>
      </c>
      <c r="O23" s="198">
        <f aca="true" t="shared" si="12" ref="O23:O29">D23/X23*1000</f>
        <v>4106.360148317987</v>
      </c>
      <c r="P23" s="137">
        <f aca="true" t="shared" si="13" ref="P23:P29">K23-D23</f>
        <v>-114620.83081999999</v>
      </c>
      <c r="Q23" s="137">
        <f aca="true" t="shared" si="14" ref="Q23:Q29">K23/D23*100-100</f>
        <v>-100</v>
      </c>
      <c r="R23" s="137">
        <v>149607.57835845396</v>
      </c>
      <c r="S23" s="137">
        <f aca="true" t="shared" si="15" ref="S23:S29">R23-K23</f>
        <v>149607.57835845396</v>
      </c>
      <c r="T23" s="137" t="e">
        <f aca="true" t="shared" si="16" ref="T23:T29">R23/K23*100-100</f>
        <v>#DIV/0!</v>
      </c>
      <c r="U23" s="137">
        <v>14830</v>
      </c>
      <c r="V23" s="137">
        <v>12077.8</v>
      </c>
      <c r="W23" s="137">
        <f aca="true" t="shared" si="17" ref="W23:W29">U23*V23/1000*12</f>
        <v>2149365.288</v>
      </c>
      <c r="X23" s="137">
        <v>27913</v>
      </c>
      <c r="Y23" s="138">
        <f aca="true" t="shared" si="18" ref="Y23:Y29">(5948-O23)*X23/1000</f>
        <v>51405.693180000024</v>
      </c>
      <c r="Z23" s="137"/>
      <c r="AA23" s="137"/>
      <c r="AB23" s="137"/>
      <c r="AC23" s="137">
        <f>L23-M23</f>
        <v>18700.42648493999</v>
      </c>
      <c r="AD23" s="137">
        <f aca="true" t="shared" si="19" ref="AD23:AD29">MAX(Y23:AC23)</f>
        <v>51405.693180000024</v>
      </c>
      <c r="AE23" s="149"/>
      <c r="AF23" s="147">
        <f aca="true" t="shared" si="20" ref="AF23:AF31">AC23/M23*100</f>
        <v>18.050604715193042</v>
      </c>
    </row>
    <row r="24" spans="1:32" s="144" customFormat="1" ht="12.75">
      <c r="A24" s="136" t="s">
        <v>152</v>
      </c>
      <c r="B24" s="139">
        <v>65027.86335</v>
      </c>
      <c r="C24" s="416"/>
      <c r="D24" s="139">
        <v>119702.07314000001</v>
      </c>
      <c r="E24" s="138"/>
      <c r="F24" s="138"/>
      <c r="G24" s="138"/>
      <c r="H24" s="138"/>
      <c r="I24" s="140"/>
      <c r="J24" s="138">
        <f t="shared" si="11"/>
        <v>184.0781273955236</v>
      </c>
      <c r="K24" s="138"/>
      <c r="L24" s="145">
        <f t="shared" si="0"/>
        <v>127722.11204038002</v>
      </c>
      <c r="M24" s="138">
        <v>112100</v>
      </c>
      <c r="N24" s="138">
        <v>51952</v>
      </c>
      <c r="O24" s="198">
        <f t="shared" si="12"/>
        <v>5667.711796401515</v>
      </c>
      <c r="P24" s="138">
        <f t="shared" si="13"/>
        <v>-119702.07314000001</v>
      </c>
      <c r="Q24" s="138">
        <f t="shared" si="14"/>
        <v>-100</v>
      </c>
      <c r="R24" s="138">
        <v>161585.49225685355</v>
      </c>
      <c r="S24" s="138">
        <f t="shared" si="15"/>
        <v>161585.49225685355</v>
      </c>
      <c r="T24" s="138" t="e">
        <f t="shared" si="16"/>
        <v>#DIV/0!</v>
      </c>
      <c r="U24" s="138">
        <v>10824</v>
      </c>
      <c r="V24" s="138">
        <v>11756.1</v>
      </c>
      <c r="W24" s="138">
        <f t="shared" si="17"/>
        <v>1526976.3168000001</v>
      </c>
      <c r="X24" s="138">
        <v>21120</v>
      </c>
      <c r="Y24" s="138">
        <f t="shared" si="18"/>
        <v>5919.686860000001</v>
      </c>
      <c r="Z24" s="138"/>
      <c r="AA24" s="138"/>
      <c r="AB24" s="138"/>
      <c r="AC24" s="137">
        <f aca="true" t="shared" si="21" ref="AC24:AC29">L24-M24</f>
        <v>15622.112040380016</v>
      </c>
      <c r="AD24" s="137">
        <f t="shared" si="19"/>
        <v>15622.112040380016</v>
      </c>
      <c r="AE24" s="147">
        <f aca="true" t="shared" si="22" ref="AE24:AE37">Y24/B24*100</f>
        <v>9.103308266701648</v>
      </c>
      <c r="AF24" s="147">
        <f t="shared" si="20"/>
        <v>13.935871579286365</v>
      </c>
    </row>
    <row r="25" spans="1:32" s="121" customFormat="1" ht="12.75">
      <c r="A25" s="136" t="s">
        <v>148</v>
      </c>
      <c r="B25" s="139">
        <f>355877000/1000</f>
        <v>355877</v>
      </c>
      <c r="C25" s="416"/>
      <c r="D25" s="139">
        <v>525648.997</v>
      </c>
      <c r="E25" s="138"/>
      <c r="F25" s="138"/>
      <c r="G25" s="138"/>
      <c r="H25" s="138"/>
      <c r="I25" s="140"/>
      <c r="J25" s="138">
        <f t="shared" si="11"/>
        <v>147.70524563262023</v>
      </c>
      <c r="K25" s="138"/>
      <c r="L25" s="145">
        <f t="shared" si="0"/>
        <v>560867.479799</v>
      </c>
      <c r="M25" s="138">
        <v>521591</v>
      </c>
      <c r="N25" s="138">
        <v>179414</v>
      </c>
      <c r="O25" s="345">
        <f t="shared" si="12"/>
        <v>5948.476207181414</v>
      </c>
      <c r="P25" s="138">
        <f t="shared" si="13"/>
        <v>-525648.997</v>
      </c>
      <c r="Q25" s="138">
        <f t="shared" si="14"/>
        <v>-100</v>
      </c>
      <c r="R25" s="138">
        <v>753959.838163383</v>
      </c>
      <c r="S25" s="138">
        <f t="shared" si="15"/>
        <v>753959.838163383</v>
      </c>
      <c r="T25" s="138" t="e">
        <f t="shared" si="16"/>
        <v>#DIV/0!</v>
      </c>
      <c r="U25" s="138">
        <v>52160</v>
      </c>
      <c r="V25" s="138">
        <v>12700.6</v>
      </c>
      <c r="W25" s="138">
        <f t="shared" si="17"/>
        <v>7949559.551999999</v>
      </c>
      <c r="X25" s="138">
        <v>88367</v>
      </c>
      <c r="Y25" s="138"/>
      <c r="Z25" s="138"/>
      <c r="AA25" s="138"/>
      <c r="AB25" s="138"/>
      <c r="AC25" s="137">
        <f t="shared" si="21"/>
        <v>39276.479798999964</v>
      </c>
      <c r="AD25" s="137">
        <f t="shared" si="19"/>
        <v>39276.479798999964</v>
      </c>
      <c r="AE25" s="147">
        <f t="shared" si="22"/>
        <v>0</v>
      </c>
      <c r="AF25" s="147">
        <f t="shared" si="20"/>
        <v>7.530129890853171</v>
      </c>
    </row>
    <row r="26" spans="1:32" s="142" customFormat="1" ht="12.75">
      <c r="A26" s="134" t="s">
        <v>158</v>
      </c>
      <c r="B26" s="145">
        <v>46967.133</v>
      </c>
      <c r="C26" s="416"/>
      <c r="D26" s="145">
        <v>86152.70082</v>
      </c>
      <c r="E26" s="137"/>
      <c r="F26" s="137"/>
      <c r="G26" s="137"/>
      <c r="H26" s="137"/>
      <c r="I26" s="146"/>
      <c r="J26" s="137">
        <f t="shared" si="11"/>
        <v>183.4318922979608</v>
      </c>
      <c r="K26" s="137"/>
      <c r="L26" s="145">
        <f t="shared" si="0"/>
        <v>91924.93177494</v>
      </c>
      <c r="M26" s="137">
        <v>76492.9</v>
      </c>
      <c r="N26" s="137">
        <v>40161</v>
      </c>
      <c r="O26" s="198">
        <f t="shared" si="12"/>
        <v>5111.403193117769</v>
      </c>
      <c r="P26" s="137">
        <f t="shared" si="13"/>
        <v>-86152.70082</v>
      </c>
      <c r="Q26" s="137">
        <f t="shared" si="14"/>
        <v>-100</v>
      </c>
      <c r="R26" s="137">
        <v>80899.814297924</v>
      </c>
      <c r="S26" s="137">
        <f t="shared" si="15"/>
        <v>80899.814297924</v>
      </c>
      <c r="T26" s="137" t="e">
        <f t="shared" si="16"/>
        <v>#DIV/0!</v>
      </c>
      <c r="U26" s="137">
        <v>8647</v>
      </c>
      <c r="V26" s="137">
        <v>12396.7</v>
      </c>
      <c r="W26" s="137">
        <f t="shared" si="17"/>
        <v>1286331.1788</v>
      </c>
      <c r="X26" s="137">
        <v>16855</v>
      </c>
      <c r="Y26" s="138">
        <f t="shared" si="18"/>
        <v>14100.839180000006</v>
      </c>
      <c r="Z26" s="137"/>
      <c r="AA26" s="137"/>
      <c r="AB26" s="137"/>
      <c r="AC26" s="137">
        <f t="shared" si="21"/>
        <v>15432.031774940013</v>
      </c>
      <c r="AD26" s="137">
        <f t="shared" si="19"/>
        <v>15432.031774940013</v>
      </c>
      <c r="AE26" s="147">
        <f t="shared" si="22"/>
        <v>30.02278035578626</v>
      </c>
      <c r="AF26" s="147">
        <f t="shared" si="20"/>
        <v>20.174462956614292</v>
      </c>
    </row>
    <row r="27" spans="1:32" s="142" customFormat="1" ht="12.75">
      <c r="A27" s="134" t="s">
        <v>189</v>
      </c>
      <c r="B27" s="145">
        <v>100785</v>
      </c>
      <c r="C27" s="416"/>
      <c r="D27" s="145">
        <v>138235.58302000002</v>
      </c>
      <c r="E27" s="137"/>
      <c r="F27" s="137"/>
      <c r="G27" s="137"/>
      <c r="H27" s="137"/>
      <c r="I27" s="146"/>
      <c r="J27" s="137">
        <f t="shared" si="11"/>
        <v>137.15888576673117</v>
      </c>
      <c r="K27" s="137"/>
      <c r="L27" s="145">
        <f t="shared" si="0"/>
        <v>147497.36708234003</v>
      </c>
      <c r="M27" s="137">
        <v>134032</v>
      </c>
      <c r="N27" s="137">
        <v>53543</v>
      </c>
      <c r="O27" s="198">
        <f t="shared" si="12"/>
        <v>4839.33425590758</v>
      </c>
      <c r="P27" s="137">
        <f t="shared" si="13"/>
        <v>-138235.58302000002</v>
      </c>
      <c r="Q27" s="137">
        <f t="shared" si="14"/>
        <v>-100</v>
      </c>
      <c r="R27" s="137">
        <v>206586.92359700776</v>
      </c>
      <c r="S27" s="137">
        <f t="shared" si="15"/>
        <v>206586.92359700776</v>
      </c>
      <c r="T27" s="137" t="e">
        <f t="shared" si="16"/>
        <v>#DIV/0!</v>
      </c>
      <c r="U27" s="137">
        <v>12112</v>
      </c>
      <c r="V27" s="137">
        <v>12853.9</v>
      </c>
      <c r="W27" s="137">
        <f t="shared" si="17"/>
        <v>1868237.2415999998</v>
      </c>
      <c r="X27" s="137">
        <v>28565</v>
      </c>
      <c r="Y27" s="138">
        <f t="shared" si="18"/>
        <v>31669.03697999998</v>
      </c>
      <c r="Z27" s="137"/>
      <c r="AA27" s="137"/>
      <c r="AB27" s="137"/>
      <c r="AC27" s="137">
        <f t="shared" si="21"/>
        <v>13465.367082340032</v>
      </c>
      <c r="AD27" s="137">
        <f t="shared" si="19"/>
        <v>31669.03697999998</v>
      </c>
      <c r="AE27" s="147">
        <f t="shared" si="22"/>
        <v>31.422371364786407</v>
      </c>
      <c r="AF27" s="147">
        <f t="shared" si="20"/>
        <v>10.046382268667207</v>
      </c>
    </row>
    <row r="28" spans="1:32" s="142" customFormat="1" ht="12.75">
      <c r="A28" s="134" t="s">
        <v>166</v>
      </c>
      <c r="B28" s="145">
        <v>40000</v>
      </c>
      <c r="C28" s="423"/>
      <c r="D28" s="145">
        <v>76112.15539</v>
      </c>
      <c r="E28" s="137"/>
      <c r="F28" s="137"/>
      <c r="G28" s="137"/>
      <c r="H28" s="137"/>
      <c r="I28" s="146"/>
      <c r="J28" s="137">
        <f t="shared" si="11"/>
        <v>190.280388475</v>
      </c>
      <c r="K28" s="137"/>
      <c r="L28" s="145">
        <f>D28*106.7/100</f>
        <v>81211.66980113</v>
      </c>
      <c r="M28" s="137">
        <v>79684.4</v>
      </c>
      <c r="N28" s="137">
        <v>47920</v>
      </c>
      <c r="O28" s="198">
        <f t="shared" si="12"/>
        <v>4173.273132470666</v>
      </c>
      <c r="P28" s="137">
        <f t="shared" si="13"/>
        <v>-76112.15539</v>
      </c>
      <c r="Q28" s="137">
        <f t="shared" si="14"/>
        <v>-100</v>
      </c>
      <c r="R28" s="137">
        <v>71111.56709560959</v>
      </c>
      <c r="S28" s="137">
        <f t="shared" si="15"/>
        <v>71111.56709560959</v>
      </c>
      <c r="T28" s="137" t="e">
        <f t="shared" si="16"/>
        <v>#DIV/0!</v>
      </c>
      <c r="U28" s="137">
        <v>7251</v>
      </c>
      <c r="V28" s="137">
        <v>11834.2</v>
      </c>
      <c r="W28" s="137">
        <f t="shared" si="17"/>
        <v>1029717.4104000002</v>
      </c>
      <c r="X28" s="137">
        <v>18238</v>
      </c>
      <c r="Y28" s="138">
        <f t="shared" si="18"/>
        <v>32367.46861</v>
      </c>
      <c r="Z28" s="137"/>
      <c r="AA28" s="137"/>
      <c r="AB28" s="137"/>
      <c r="AC28" s="137">
        <f t="shared" si="21"/>
        <v>1527.269801130009</v>
      </c>
      <c r="AD28" s="137">
        <f t="shared" si="19"/>
        <v>32367.46861</v>
      </c>
      <c r="AE28" s="147">
        <f>Y28/B28*100</f>
        <v>80.918671525</v>
      </c>
      <c r="AF28" s="147">
        <f>AC28/M28*100</f>
        <v>1.9166484294667576</v>
      </c>
    </row>
    <row r="29" spans="1:32" s="142" customFormat="1" ht="12.75">
      <c r="A29" s="134" t="s">
        <v>161</v>
      </c>
      <c r="B29" s="145">
        <v>15817.5</v>
      </c>
      <c r="C29" s="424"/>
      <c r="D29" s="145">
        <v>29122.19332</v>
      </c>
      <c r="E29" s="137"/>
      <c r="F29" s="137"/>
      <c r="G29" s="137"/>
      <c r="H29" s="137"/>
      <c r="I29" s="146"/>
      <c r="J29" s="137">
        <f t="shared" si="11"/>
        <v>184.11375577682944</v>
      </c>
      <c r="K29" s="137"/>
      <c r="L29" s="145">
        <f>D29*106.7/100</f>
        <v>31073.380272439997</v>
      </c>
      <c r="M29" s="137">
        <v>29048</v>
      </c>
      <c r="N29" s="137">
        <v>20389</v>
      </c>
      <c r="O29" s="198">
        <f t="shared" si="12"/>
        <v>3277.3118748593292</v>
      </c>
      <c r="P29" s="137">
        <f t="shared" si="13"/>
        <v>-29122.19332</v>
      </c>
      <c r="Q29" s="137">
        <f t="shared" si="14"/>
        <v>-100</v>
      </c>
      <c r="R29" s="137">
        <v>32350.275782295157</v>
      </c>
      <c r="S29" s="137">
        <f t="shared" si="15"/>
        <v>32350.275782295157</v>
      </c>
      <c r="T29" s="137" t="e">
        <f t="shared" si="16"/>
        <v>#DIV/0!</v>
      </c>
      <c r="U29" s="137">
        <v>3919</v>
      </c>
      <c r="V29" s="137">
        <v>11471</v>
      </c>
      <c r="W29" s="137">
        <f t="shared" si="17"/>
        <v>539458.1880000001</v>
      </c>
      <c r="X29" s="137">
        <v>8886</v>
      </c>
      <c r="Y29" s="138">
        <f t="shared" si="18"/>
        <v>23731.73468</v>
      </c>
      <c r="Z29" s="137"/>
      <c r="AA29" s="137"/>
      <c r="AB29" s="137"/>
      <c r="AC29" s="137">
        <f t="shared" si="21"/>
        <v>2025.3802724399975</v>
      </c>
      <c r="AD29" s="137">
        <f t="shared" si="19"/>
        <v>23731.73468</v>
      </c>
      <c r="AE29" s="147">
        <f>Y29/B29*100</f>
        <v>150.0346747589695</v>
      </c>
      <c r="AF29" s="147">
        <f>AC29/M29*100</f>
        <v>6.9725291670338665</v>
      </c>
    </row>
    <row r="30" spans="1:32" s="142" customFormat="1" ht="12.75">
      <c r="A30" s="274"/>
      <c r="B30" s="275"/>
      <c r="C30" s="276"/>
      <c r="D30" s="275"/>
      <c r="E30" s="277"/>
      <c r="F30" s="277"/>
      <c r="G30" s="277"/>
      <c r="H30" s="277"/>
      <c r="I30" s="278"/>
      <c r="J30" s="277"/>
      <c r="K30" s="277"/>
      <c r="L30" s="275"/>
      <c r="M30" s="277"/>
      <c r="N30" s="277"/>
      <c r="O30" s="277"/>
      <c r="P30" s="277"/>
      <c r="Q30" s="277"/>
      <c r="R30" s="277"/>
      <c r="S30" s="277"/>
      <c r="T30" s="277"/>
      <c r="U30" s="277"/>
      <c r="V30" s="277"/>
      <c r="W30" s="277"/>
      <c r="X30" s="277"/>
      <c r="Y30" s="277"/>
      <c r="Z30" s="277"/>
      <c r="AA30" s="277"/>
      <c r="AB30" s="277"/>
      <c r="AC30" s="277"/>
      <c r="AD30" s="277"/>
      <c r="AE30" s="147"/>
      <c r="AF30" s="147"/>
    </row>
    <row r="31" spans="1:32" s="142" customFormat="1" ht="12.75">
      <c r="A31" s="134" t="s">
        <v>177</v>
      </c>
      <c r="B31" s="145">
        <v>16000</v>
      </c>
      <c r="C31" s="416" t="s">
        <v>225</v>
      </c>
      <c r="D31" s="145">
        <v>29729.46375</v>
      </c>
      <c r="E31" s="137"/>
      <c r="F31" s="137"/>
      <c r="G31" s="137"/>
      <c r="H31" s="137"/>
      <c r="I31" s="146"/>
      <c r="J31" s="137">
        <f aca="true" t="shared" si="23" ref="J31:J39">D31/B31*100</f>
        <v>185.8091484375</v>
      </c>
      <c r="K31" s="137"/>
      <c r="L31" s="145">
        <f t="shared" si="0"/>
        <v>31721.33782125</v>
      </c>
      <c r="M31" s="137">
        <v>29800</v>
      </c>
      <c r="N31" s="137">
        <v>20878</v>
      </c>
      <c r="O31" s="198">
        <f aca="true" t="shared" si="24" ref="O31:O39">D31/X31*1000</f>
        <v>3323.956143783542</v>
      </c>
      <c r="P31" s="137">
        <f aca="true" t="shared" si="25" ref="P31:P39">K31-D31</f>
        <v>-29729.46375</v>
      </c>
      <c r="Q31" s="137">
        <f aca="true" t="shared" si="26" ref="Q31:Q39">K31/D31*100-100</f>
        <v>-100</v>
      </c>
      <c r="R31" s="137">
        <v>32696.424425621295</v>
      </c>
      <c r="S31" s="137">
        <f aca="true" t="shared" si="27" ref="S31:S39">R31-K31</f>
        <v>32696.424425621295</v>
      </c>
      <c r="T31" s="137" t="e">
        <f aca="true" t="shared" si="28" ref="T31:T39">R31/K31*100-100</f>
        <v>#DIV/0!</v>
      </c>
      <c r="U31" s="137">
        <v>3946</v>
      </c>
      <c r="V31" s="137">
        <v>10934.7</v>
      </c>
      <c r="W31" s="137">
        <f aca="true" t="shared" si="29" ref="W31:W39">U31*V31/1000*12</f>
        <v>517779.9144</v>
      </c>
      <c r="X31" s="137">
        <v>8944</v>
      </c>
      <c r="Y31" s="138">
        <f>(4130-O31)*X31/1000</f>
        <v>7209.256250000002</v>
      </c>
      <c r="Z31" s="137"/>
      <c r="AA31" s="137"/>
      <c r="AB31" s="137"/>
      <c r="AC31" s="137">
        <f aca="true" t="shared" si="30" ref="AC31:AC39">L31-M31</f>
        <v>1921.3378212499993</v>
      </c>
      <c r="AD31" s="137">
        <f aca="true" t="shared" si="31" ref="AD31:AD39">MAX(Y31:AC31)</f>
        <v>7209.256250000002</v>
      </c>
      <c r="AE31" s="147">
        <f t="shared" si="22"/>
        <v>45.05785156250001</v>
      </c>
      <c r="AF31" s="147">
        <f t="shared" si="20"/>
        <v>6.447442353187917</v>
      </c>
    </row>
    <row r="32" spans="1:32" s="121" customFormat="1" ht="12.75">
      <c r="A32" s="134" t="s">
        <v>190</v>
      </c>
      <c r="B32" s="16">
        <v>8375</v>
      </c>
      <c r="C32" s="416"/>
      <c r="D32" s="16">
        <v>22595.98939</v>
      </c>
      <c r="E32" s="122"/>
      <c r="F32" s="122"/>
      <c r="G32" s="122"/>
      <c r="H32" s="122"/>
      <c r="I32" s="123"/>
      <c r="J32" s="122">
        <f t="shared" si="23"/>
        <v>269.8028583880597</v>
      </c>
      <c r="K32" s="122"/>
      <c r="L32" s="145">
        <f t="shared" si="0"/>
        <v>24109.92067913</v>
      </c>
      <c r="M32" s="122">
        <v>25727.01</v>
      </c>
      <c r="N32" s="122">
        <v>15698</v>
      </c>
      <c r="O32" s="198">
        <f t="shared" si="24"/>
        <v>3423.1161021057414</v>
      </c>
      <c r="P32" s="122">
        <f t="shared" si="25"/>
        <v>-22595.98939</v>
      </c>
      <c r="Q32" s="122">
        <f t="shared" si="26"/>
        <v>-100</v>
      </c>
      <c r="R32" s="122">
        <v>23940.755619963915</v>
      </c>
      <c r="S32" s="122">
        <f t="shared" si="27"/>
        <v>23940.755619963915</v>
      </c>
      <c r="T32" s="122" t="e">
        <f t="shared" si="28"/>
        <v>#DIV/0!</v>
      </c>
      <c r="U32" s="122">
        <v>2434</v>
      </c>
      <c r="V32" s="122">
        <v>10224.3</v>
      </c>
      <c r="W32" s="122">
        <f t="shared" si="29"/>
        <v>298631.35439999995</v>
      </c>
      <c r="X32" s="122">
        <v>6601</v>
      </c>
      <c r="Y32" s="138">
        <f aca="true" t="shared" si="32" ref="Y32:Y39">(4130-O32)*X32/1000</f>
        <v>4666.14061</v>
      </c>
      <c r="Z32" s="122"/>
      <c r="AA32" s="122"/>
      <c r="AB32" s="122"/>
      <c r="AC32" s="137"/>
      <c r="AD32" s="122">
        <f t="shared" si="31"/>
        <v>4666.14061</v>
      </c>
      <c r="AE32" s="147">
        <f t="shared" si="22"/>
        <v>55.71511176119404</v>
      </c>
      <c r="AF32" s="147"/>
    </row>
    <row r="33" spans="1:32" s="142" customFormat="1" ht="12.75">
      <c r="A33" s="134" t="s">
        <v>171</v>
      </c>
      <c r="B33" s="16">
        <v>13528.097</v>
      </c>
      <c r="C33" s="416"/>
      <c r="D33" s="16">
        <v>22831.85072</v>
      </c>
      <c r="E33" s="122"/>
      <c r="F33" s="122"/>
      <c r="G33" s="122"/>
      <c r="H33" s="122"/>
      <c r="I33" s="123"/>
      <c r="J33" s="122">
        <f t="shared" si="23"/>
        <v>168.77355861655928</v>
      </c>
      <c r="K33" s="122"/>
      <c r="L33" s="145">
        <f t="shared" si="0"/>
        <v>24361.584718240003</v>
      </c>
      <c r="M33" s="122">
        <v>21256</v>
      </c>
      <c r="N33" s="122">
        <v>17293</v>
      </c>
      <c r="O33" s="198">
        <f t="shared" si="24"/>
        <v>2880.2637466885326</v>
      </c>
      <c r="P33" s="122">
        <f t="shared" si="25"/>
        <v>-22831.85072</v>
      </c>
      <c r="Q33" s="122">
        <f t="shared" si="26"/>
        <v>-100</v>
      </c>
      <c r="R33" s="122">
        <v>27048.701900576685</v>
      </c>
      <c r="S33" s="122">
        <f t="shared" si="27"/>
        <v>27048.701900576685</v>
      </c>
      <c r="T33" s="122" t="e">
        <f t="shared" si="28"/>
        <v>#DIV/0!</v>
      </c>
      <c r="U33" s="122">
        <v>2932</v>
      </c>
      <c r="V33" s="122">
        <v>10795.2</v>
      </c>
      <c r="W33" s="122">
        <f t="shared" si="29"/>
        <v>379818.31680000003</v>
      </c>
      <c r="X33" s="122">
        <v>7927</v>
      </c>
      <c r="Y33" s="138">
        <f t="shared" si="32"/>
        <v>9906.659280000003</v>
      </c>
      <c r="Z33" s="122"/>
      <c r="AA33" s="122"/>
      <c r="AB33" s="122"/>
      <c r="AC33" s="137">
        <f t="shared" si="30"/>
        <v>3105.584718240003</v>
      </c>
      <c r="AD33" s="122">
        <f t="shared" si="31"/>
        <v>9906.659280000003</v>
      </c>
      <c r="AE33" s="147">
        <f t="shared" si="22"/>
        <v>73.23025019705287</v>
      </c>
      <c r="AF33" s="147"/>
    </row>
    <row r="34" spans="1:32" s="142" customFormat="1" ht="12.75">
      <c r="A34" s="134" t="s">
        <v>168</v>
      </c>
      <c r="B34" s="16">
        <v>23600</v>
      </c>
      <c r="C34" s="416"/>
      <c r="D34" s="16">
        <v>39781.94967</v>
      </c>
      <c r="E34" s="122"/>
      <c r="F34" s="122"/>
      <c r="G34" s="122"/>
      <c r="H34" s="122"/>
      <c r="I34" s="123"/>
      <c r="J34" s="122">
        <f t="shared" si="23"/>
        <v>168.56758334745763</v>
      </c>
      <c r="K34" s="122"/>
      <c r="L34" s="145">
        <f t="shared" si="0"/>
        <v>42447.340297890005</v>
      </c>
      <c r="M34" s="122">
        <v>44800</v>
      </c>
      <c r="N34" s="122">
        <v>25766</v>
      </c>
      <c r="O34" s="198">
        <f t="shared" si="24"/>
        <v>3814.550740243552</v>
      </c>
      <c r="P34" s="122">
        <f t="shared" si="25"/>
        <v>-39781.94967</v>
      </c>
      <c r="Q34" s="122">
        <f t="shared" si="26"/>
        <v>-100</v>
      </c>
      <c r="R34" s="122">
        <v>38384.427321739415</v>
      </c>
      <c r="S34" s="122">
        <f t="shared" si="27"/>
        <v>38384.427321739415</v>
      </c>
      <c r="T34" s="122" t="e">
        <f t="shared" si="28"/>
        <v>#DIV/0!</v>
      </c>
      <c r="U34" s="122">
        <v>5713</v>
      </c>
      <c r="V34" s="122">
        <v>10792.9</v>
      </c>
      <c r="W34" s="122">
        <f t="shared" si="29"/>
        <v>739918.0523999999</v>
      </c>
      <c r="X34" s="122">
        <v>10429</v>
      </c>
      <c r="Y34" s="138">
        <f t="shared" si="32"/>
        <v>3289.8203299999973</v>
      </c>
      <c r="Z34" s="122"/>
      <c r="AA34" s="122"/>
      <c r="AB34" s="122"/>
      <c r="AC34" s="137"/>
      <c r="AD34" s="122">
        <f t="shared" si="31"/>
        <v>3289.8203299999973</v>
      </c>
      <c r="AE34" s="147">
        <f t="shared" si="22"/>
        <v>13.939916652542362</v>
      </c>
      <c r="AF34" s="147">
        <f>AC34/M34*100</f>
        <v>0</v>
      </c>
    </row>
    <row r="35" spans="1:32" s="142" customFormat="1" ht="12.75">
      <c r="A35" s="134" t="s">
        <v>169</v>
      </c>
      <c r="B35" s="145">
        <v>16103</v>
      </c>
      <c r="C35" s="416"/>
      <c r="D35" s="145">
        <v>30732.71712</v>
      </c>
      <c r="E35" s="137"/>
      <c r="F35" s="137"/>
      <c r="G35" s="137"/>
      <c r="H35" s="137"/>
      <c r="I35" s="146"/>
      <c r="J35" s="137">
        <f t="shared" si="23"/>
        <v>190.85087946345402</v>
      </c>
      <c r="K35" s="137"/>
      <c r="L35" s="145">
        <f t="shared" si="0"/>
        <v>32791.80916704</v>
      </c>
      <c r="M35" s="137">
        <v>30260</v>
      </c>
      <c r="N35" s="137">
        <v>18250</v>
      </c>
      <c r="O35" s="198">
        <f t="shared" si="24"/>
        <v>4071.097777189032</v>
      </c>
      <c r="P35" s="137">
        <f t="shared" si="25"/>
        <v>-30732.71712</v>
      </c>
      <c r="Q35" s="137">
        <f t="shared" si="26"/>
        <v>-100</v>
      </c>
      <c r="R35" s="137">
        <v>28507.678762464046</v>
      </c>
      <c r="S35" s="137">
        <f t="shared" si="27"/>
        <v>28507.678762464046</v>
      </c>
      <c r="T35" s="137" t="e">
        <f t="shared" si="28"/>
        <v>#DIV/0!</v>
      </c>
      <c r="U35" s="137">
        <v>3390</v>
      </c>
      <c r="V35" s="137">
        <v>10141.7</v>
      </c>
      <c r="W35" s="137">
        <f t="shared" si="29"/>
        <v>412564.35599999997</v>
      </c>
      <c r="X35" s="137">
        <v>7549</v>
      </c>
      <c r="Y35" s="138">
        <f t="shared" si="32"/>
        <v>444.65287999999697</v>
      </c>
      <c r="Z35" s="137"/>
      <c r="AA35" s="137"/>
      <c r="AB35" s="137"/>
      <c r="AC35" s="137">
        <f t="shared" si="30"/>
        <v>2531.8091670400026</v>
      </c>
      <c r="AD35" s="137">
        <f t="shared" si="31"/>
        <v>2531.8091670400026</v>
      </c>
      <c r="AE35" s="147">
        <f t="shared" si="22"/>
        <v>2.761304601627007</v>
      </c>
      <c r="AF35" s="147">
        <f>AC35/M35*100</f>
        <v>8.366851179907478</v>
      </c>
    </row>
    <row r="36" spans="1:32" s="142" customFormat="1" ht="12.75">
      <c r="A36" s="134" t="s">
        <v>159</v>
      </c>
      <c r="B36" s="145">
        <v>30572</v>
      </c>
      <c r="C36" s="416"/>
      <c r="D36" s="145">
        <v>44067.79547999999</v>
      </c>
      <c r="E36" s="137"/>
      <c r="F36" s="137"/>
      <c r="G36" s="137"/>
      <c r="H36" s="137"/>
      <c r="I36" s="146"/>
      <c r="J36" s="137">
        <f t="shared" si="23"/>
        <v>144.1443002747612</v>
      </c>
      <c r="K36" s="137"/>
      <c r="L36" s="145">
        <f t="shared" si="0"/>
        <v>47020.33777716</v>
      </c>
      <c r="M36" s="137">
        <v>42813.677</v>
      </c>
      <c r="N36" s="137">
        <v>25633</v>
      </c>
      <c r="O36" s="345">
        <f t="shared" si="24"/>
        <v>4129.678144503795</v>
      </c>
      <c r="P36" s="137">
        <f t="shared" si="25"/>
        <v>-44067.79547999999</v>
      </c>
      <c r="Q36" s="137">
        <f t="shared" si="26"/>
        <v>-100</v>
      </c>
      <c r="R36" s="137">
        <v>66962.64328115655</v>
      </c>
      <c r="S36" s="137">
        <f t="shared" si="27"/>
        <v>66962.64328115655</v>
      </c>
      <c r="T36" s="137" t="e">
        <f t="shared" si="28"/>
        <v>#DIV/0!</v>
      </c>
      <c r="U36" s="137">
        <v>3731</v>
      </c>
      <c r="V36" s="137">
        <v>10344.9</v>
      </c>
      <c r="W36" s="137">
        <f t="shared" si="29"/>
        <v>463161.86279999994</v>
      </c>
      <c r="X36" s="137">
        <v>10671</v>
      </c>
      <c r="Y36" s="138"/>
      <c r="Z36" s="137"/>
      <c r="AA36" s="137"/>
      <c r="AB36" s="137"/>
      <c r="AC36" s="137">
        <f t="shared" si="30"/>
        <v>4206.660777159996</v>
      </c>
      <c r="AD36" s="137">
        <f t="shared" si="31"/>
        <v>4206.660777159996</v>
      </c>
      <c r="AE36" s="147">
        <f t="shared" si="22"/>
        <v>0</v>
      </c>
      <c r="AF36" s="147">
        <f>AC36/M36*100</f>
        <v>9.825506875197837</v>
      </c>
    </row>
    <row r="37" spans="1:32" s="142" customFormat="1" ht="12.75">
      <c r="A37" s="134" t="s">
        <v>162</v>
      </c>
      <c r="B37" s="16">
        <v>20840.258</v>
      </c>
      <c r="C37" s="416"/>
      <c r="D37" s="16">
        <v>31465.42086</v>
      </c>
      <c r="E37" s="122"/>
      <c r="F37" s="122"/>
      <c r="G37" s="122"/>
      <c r="H37" s="122"/>
      <c r="I37" s="123"/>
      <c r="J37" s="122">
        <f t="shared" si="23"/>
        <v>150.98383551681556</v>
      </c>
      <c r="K37" s="122"/>
      <c r="L37" s="145">
        <f t="shared" si="0"/>
        <v>33573.60405762</v>
      </c>
      <c r="M37" s="122">
        <v>31129.9</v>
      </c>
      <c r="N37" s="122">
        <v>18281</v>
      </c>
      <c r="O37" s="198">
        <f t="shared" si="24"/>
        <v>3516.0823399262486</v>
      </c>
      <c r="P37" s="122">
        <f t="shared" si="25"/>
        <v>-31465.42086</v>
      </c>
      <c r="Q37" s="122">
        <f t="shared" si="26"/>
        <v>-100</v>
      </c>
      <c r="R37" s="122">
        <v>30877.698449842734</v>
      </c>
      <c r="S37" s="122">
        <f t="shared" si="27"/>
        <v>30877.698449842734</v>
      </c>
      <c r="T37" s="122" t="e">
        <f t="shared" si="28"/>
        <v>#DIV/0!</v>
      </c>
      <c r="U37" s="122">
        <v>3175</v>
      </c>
      <c r="V37" s="122">
        <v>10114.8</v>
      </c>
      <c r="W37" s="122">
        <f t="shared" si="29"/>
        <v>385373.88</v>
      </c>
      <c r="X37" s="122">
        <v>8949</v>
      </c>
      <c r="Y37" s="138">
        <f t="shared" si="32"/>
        <v>5493.9491400000015</v>
      </c>
      <c r="Z37" s="122"/>
      <c r="AA37" s="122"/>
      <c r="AB37" s="122"/>
      <c r="AC37" s="137">
        <f t="shared" si="30"/>
        <v>2443.7040576200015</v>
      </c>
      <c r="AD37" s="122">
        <f t="shared" si="31"/>
        <v>5493.9491400000015</v>
      </c>
      <c r="AE37" s="147">
        <f t="shared" si="22"/>
        <v>26.36219350067548</v>
      </c>
      <c r="AF37" s="147">
        <f>AC37/M37*100</f>
        <v>7.850022189663319</v>
      </c>
    </row>
    <row r="38" spans="1:32" s="10" customFormat="1" ht="12.75">
      <c r="A38" s="134" t="s">
        <v>164</v>
      </c>
      <c r="B38" s="145">
        <v>7653.632</v>
      </c>
      <c r="C38" s="416"/>
      <c r="D38" s="145">
        <v>12988.0123</v>
      </c>
      <c r="E38" s="137"/>
      <c r="F38" s="137"/>
      <c r="G38" s="137"/>
      <c r="H38" s="137"/>
      <c r="I38" s="146"/>
      <c r="J38" s="137">
        <f t="shared" si="23"/>
        <v>169.6973711304646</v>
      </c>
      <c r="K38" s="137"/>
      <c r="L38" s="145">
        <f t="shared" si="0"/>
        <v>13858.209124100002</v>
      </c>
      <c r="M38" s="137">
        <v>12000</v>
      </c>
      <c r="N38" s="137">
        <v>9922</v>
      </c>
      <c r="O38" s="198">
        <f t="shared" si="24"/>
        <v>2751.1146579114593</v>
      </c>
      <c r="P38" s="137">
        <f t="shared" si="25"/>
        <v>-12988.0123</v>
      </c>
      <c r="Q38" s="137">
        <f t="shared" si="26"/>
        <v>-100</v>
      </c>
      <c r="R38" s="137">
        <v>14240.550313270769</v>
      </c>
      <c r="S38" s="137">
        <f t="shared" si="27"/>
        <v>14240.550313270769</v>
      </c>
      <c r="T38" s="137" t="e">
        <f t="shared" si="28"/>
        <v>#DIV/0!</v>
      </c>
      <c r="U38" s="137">
        <v>1576</v>
      </c>
      <c r="V38" s="137">
        <v>10392.4</v>
      </c>
      <c r="W38" s="137">
        <f t="shared" si="29"/>
        <v>196541.06879999998</v>
      </c>
      <c r="X38" s="137">
        <v>4721</v>
      </c>
      <c r="Y38" s="138">
        <f t="shared" si="32"/>
        <v>6509.717700000001</v>
      </c>
      <c r="Z38" s="137"/>
      <c r="AA38" s="137"/>
      <c r="AB38" s="137"/>
      <c r="AC38" s="137">
        <f t="shared" si="30"/>
        <v>1858.2091241000016</v>
      </c>
      <c r="AD38" s="137">
        <f t="shared" si="31"/>
        <v>6509.717700000001</v>
      </c>
      <c r="AE38" s="6"/>
      <c r="AF38" s="6"/>
    </row>
    <row r="39" spans="1:32" s="10" customFormat="1" ht="12.75">
      <c r="A39" s="134" t="s">
        <v>172</v>
      </c>
      <c r="B39" s="145">
        <v>17799</v>
      </c>
      <c r="C39" s="344"/>
      <c r="D39" s="145">
        <v>26738.758879999998</v>
      </c>
      <c r="E39" s="137"/>
      <c r="F39" s="137"/>
      <c r="G39" s="137"/>
      <c r="H39" s="137"/>
      <c r="I39" s="146"/>
      <c r="J39" s="137">
        <f t="shared" si="23"/>
        <v>150.2261861902354</v>
      </c>
      <c r="K39" s="137"/>
      <c r="L39" s="145">
        <f>D39*106.7/100</f>
        <v>28530.255724959996</v>
      </c>
      <c r="M39" s="137">
        <v>27543.6</v>
      </c>
      <c r="N39" s="137">
        <v>27985</v>
      </c>
      <c r="O39" s="198">
        <f t="shared" si="24"/>
        <v>2514.9321745673437</v>
      </c>
      <c r="P39" s="137">
        <f t="shared" si="25"/>
        <v>-26738.758879999998</v>
      </c>
      <c r="Q39" s="137">
        <f t="shared" si="26"/>
        <v>-100</v>
      </c>
      <c r="R39" s="137">
        <v>33315.443970973094</v>
      </c>
      <c r="S39" s="137">
        <f t="shared" si="27"/>
        <v>33315.443970973094</v>
      </c>
      <c r="T39" s="137" t="e">
        <f t="shared" si="28"/>
        <v>#DIV/0!</v>
      </c>
      <c r="U39" s="137">
        <v>3645</v>
      </c>
      <c r="V39" s="137">
        <v>10265.1</v>
      </c>
      <c r="W39" s="137">
        <f t="shared" si="29"/>
        <v>448995.474</v>
      </c>
      <c r="X39" s="137">
        <v>10632</v>
      </c>
      <c r="Y39" s="138">
        <f t="shared" si="32"/>
        <v>17171.401120000002</v>
      </c>
      <c r="Z39" s="137"/>
      <c r="AA39" s="137"/>
      <c r="AB39" s="137"/>
      <c r="AC39" s="137">
        <f t="shared" si="30"/>
        <v>986.6557249599973</v>
      </c>
      <c r="AD39" s="137">
        <f t="shared" si="31"/>
        <v>17171.401120000002</v>
      </c>
      <c r="AE39" s="20">
        <f>Y39/B39*100</f>
        <v>96.47396550367999</v>
      </c>
      <c r="AF39" s="20">
        <f>AC39/M39*100</f>
        <v>3.5821596485571874</v>
      </c>
    </row>
    <row r="40" spans="1:32" s="10" customFormat="1" ht="12.75">
      <c r="A40" s="274"/>
      <c r="B40" s="279"/>
      <c r="C40" s="276"/>
      <c r="D40" s="279"/>
      <c r="E40" s="277"/>
      <c r="F40" s="277"/>
      <c r="G40" s="277"/>
      <c r="H40" s="277"/>
      <c r="I40" s="280"/>
      <c r="J40" s="277"/>
      <c r="K40" s="277"/>
      <c r="L40" s="275"/>
      <c r="M40" s="277"/>
      <c r="N40" s="277"/>
      <c r="O40" s="277"/>
      <c r="P40" s="277"/>
      <c r="Q40" s="277"/>
      <c r="R40" s="277"/>
      <c r="S40" s="277"/>
      <c r="T40" s="277"/>
      <c r="U40" s="277"/>
      <c r="V40" s="277"/>
      <c r="W40" s="277"/>
      <c r="X40" s="277"/>
      <c r="Y40" s="277"/>
      <c r="Z40" s="277"/>
      <c r="AA40" s="277"/>
      <c r="AB40" s="277"/>
      <c r="AC40" s="277"/>
      <c r="AD40" s="277"/>
      <c r="AE40" s="20"/>
      <c r="AF40" s="20"/>
    </row>
    <row r="41" spans="1:32" s="10" customFormat="1" ht="12.75">
      <c r="A41" s="134" t="s">
        <v>175</v>
      </c>
      <c r="B41" s="16">
        <v>13000</v>
      </c>
      <c r="C41" s="415" t="s">
        <v>226</v>
      </c>
      <c r="D41" s="16">
        <v>24411.01212</v>
      </c>
      <c r="E41" s="122"/>
      <c r="F41" s="122"/>
      <c r="G41" s="122"/>
      <c r="H41" s="122"/>
      <c r="I41" s="123"/>
      <c r="J41" s="122">
        <f>D41/B41*100</f>
        <v>187.7770163076923</v>
      </c>
      <c r="K41" s="122"/>
      <c r="L41" s="145">
        <f>D41*106.7/100</f>
        <v>26046.549932039998</v>
      </c>
      <c r="M41" s="122">
        <v>25113.2</v>
      </c>
      <c r="N41" s="122">
        <v>17273</v>
      </c>
      <c r="O41" s="198">
        <f>D41/X41*1000</f>
        <v>3415.560671610466</v>
      </c>
      <c r="P41" s="122">
        <f>K41-D41</f>
        <v>-24411.01212</v>
      </c>
      <c r="Q41" s="122">
        <f>K41/D41*100-100</f>
        <v>-100</v>
      </c>
      <c r="R41" s="122">
        <v>21594.169934415168</v>
      </c>
      <c r="S41" s="122">
        <f>R41-K41</f>
        <v>21594.169934415168</v>
      </c>
      <c r="T41" s="122" t="e">
        <f>R41/K41*100-100</f>
        <v>#DIV/0!</v>
      </c>
      <c r="U41" s="122">
        <v>3889</v>
      </c>
      <c r="V41" s="122">
        <v>9927.3</v>
      </c>
      <c r="W41" s="122">
        <f>U41*V41/1000*12</f>
        <v>463287.23639999994</v>
      </c>
      <c r="X41" s="122">
        <v>7147</v>
      </c>
      <c r="Y41" s="138">
        <f>(4138-O41)*X41/1000</f>
        <v>5163.273879999998</v>
      </c>
      <c r="Z41" s="122"/>
      <c r="AA41" s="122"/>
      <c r="AB41" s="122"/>
      <c r="AC41" s="137">
        <f aca="true" t="shared" si="33" ref="AC41:AC49">L41-M41</f>
        <v>933.3499320399969</v>
      </c>
      <c r="AD41" s="122">
        <f>MAX(Y41:AC41)</f>
        <v>5163.273879999998</v>
      </c>
      <c r="AE41" s="20">
        <f>Y41/B41*100</f>
        <v>39.717491384615364</v>
      </c>
      <c r="AF41" s="20">
        <f>AC41/M41*100</f>
        <v>3.7165710942452455</v>
      </c>
    </row>
    <row r="42" spans="1:32" s="142" customFormat="1" ht="12.75">
      <c r="A42" s="134" t="s">
        <v>170</v>
      </c>
      <c r="B42" s="16">
        <v>7057</v>
      </c>
      <c r="C42" s="421"/>
      <c r="D42" s="16">
        <v>12959.54228</v>
      </c>
      <c r="E42" s="122"/>
      <c r="F42" s="122"/>
      <c r="G42" s="122"/>
      <c r="H42" s="122"/>
      <c r="I42" s="123"/>
      <c r="J42" s="122">
        <f>D42/B42*100</f>
        <v>183.64095621368853</v>
      </c>
      <c r="K42" s="122"/>
      <c r="L42" s="145">
        <f>D42*106.7/100</f>
        <v>13827.831612760001</v>
      </c>
      <c r="M42" s="122">
        <v>13049</v>
      </c>
      <c r="N42" s="122">
        <v>11378</v>
      </c>
      <c r="O42" s="198">
        <f>D42/X42*1000</f>
        <v>2772.6876936243048</v>
      </c>
      <c r="P42" s="122">
        <f>K42-D42</f>
        <v>-12959.54228</v>
      </c>
      <c r="Q42" s="122">
        <f>K42/D42*100-100</f>
        <v>-100</v>
      </c>
      <c r="R42" s="122">
        <v>13880.890829807862</v>
      </c>
      <c r="S42" s="122">
        <f>R42-K42</f>
        <v>13880.890829807862</v>
      </c>
      <c r="T42" s="122" t="e">
        <f>R42/K42*100-100</f>
        <v>#DIV/0!</v>
      </c>
      <c r="U42" s="122">
        <v>1815</v>
      </c>
      <c r="V42" s="122">
        <v>9871.3</v>
      </c>
      <c r="W42" s="122">
        <f>U42*V42/1000*12</f>
        <v>214996.91400000002</v>
      </c>
      <c r="X42" s="122">
        <v>4674</v>
      </c>
      <c r="Y42" s="138">
        <f aca="true" t="shared" si="34" ref="Y42:Y49">(4138-O42)*X42/1000</f>
        <v>6381.46972</v>
      </c>
      <c r="Z42" s="122"/>
      <c r="AA42" s="122"/>
      <c r="AB42" s="122"/>
      <c r="AC42" s="137">
        <f t="shared" si="33"/>
        <v>778.831612760001</v>
      </c>
      <c r="AD42" s="122">
        <f>MAX(Y42:AC42)</f>
        <v>6381.46972</v>
      </c>
      <c r="AE42" s="147">
        <f>Y42/B42*100</f>
        <v>90.42751480799205</v>
      </c>
      <c r="AF42" s="147"/>
    </row>
    <row r="43" spans="1:32" s="10" customFormat="1" ht="12.75">
      <c r="A43" s="134" t="s">
        <v>173</v>
      </c>
      <c r="B43" s="145">
        <v>17127</v>
      </c>
      <c r="C43" s="421"/>
      <c r="D43" s="145">
        <v>32777.93832</v>
      </c>
      <c r="E43" s="137"/>
      <c r="F43" s="137"/>
      <c r="G43" s="137"/>
      <c r="H43" s="137"/>
      <c r="I43" s="146"/>
      <c r="J43" s="137">
        <f aca="true" t="shared" si="35" ref="J43:J50">D43/B43*100</f>
        <v>191.3816682431249</v>
      </c>
      <c r="K43" s="137"/>
      <c r="L43" s="145">
        <f t="shared" si="0"/>
        <v>34974.06018744</v>
      </c>
      <c r="M43" s="137">
        <v>32848</v>
      </c>
      <c r="N43" s="137">
        <v>23865</v>
      </c>
      <c r="O43" s="198">
        <f aca="true" t="shared" si="36" ref="O43:O49">D43/X43*1000</f>
        <v>3063.072453041772</v>
      </c>
      <c r="P43" s="137">
        <f aca="true" t="shared" si="37" ref="P43:P49">K43-D43</f>
        <v>-32777.93832</v>
      </c>
      <c r="Q43" s="137">
        <f aca="true" t="shared" si="38" ref="Q43:Q50">K43/D43*100-100</f>
        <v>-100</v>
      </c>
      <c r="R43" s="137">
        <v>27626.544830260496</v>
      </c>
      <c r="S43" s="137">
        <f aca="true" t="shared" si="39" ref="S43:S49">R43-K43</f>
        <v>27626.544830260496</v>
      </c>
      <c r="T43" s="137" t="e">
        <f aca="true" t="shared" si="40" ref="T43:T50">R43/K43*100-100</f>
        <v>#DIV/0!</v>
      </c>
      <c r="U43" s="137">
        <v>4755</v>
      </c>
      <c r="V43" s="137">
        <v>9637.8</v>
      </c>
      <c r="W43" s="137">
        <f aca="true" t="shared" si="41" ref="W43:W49">U43*V43/1000*12</f>
        <v>549932.868</v>
      </c>
      <c r="X43" s="137">
        <v>10701</v>
      </c>
      <c r="Y43" s="138">
        <f t="shared" si="34"/>
        <v>11502.799679999998</v>
      </c>
      <c r="Z43" s="137"/>
      <c r="AA43" s="137"/>
      <c r="AB43" s="137"/>
      <c r="AC43" s="137">
        <f t="shared" si="33"/>
        <v>2126.0601874400018</v>
      </c>
      <c r="AD43" s="137">
        <f aca="true" t="shared" si="42" ref="AD43:AD49">MAX(Y43:AC43)</f>
        <v>11502.799679999998</v>
      </c>
      <c r="AE43" s="20">
        <f aca="true" t="shared" si="43" ref="AE43:AE49">Y43/B43*100</f>
        <v>67.1617894552461</v>
      </c>
      <c r="AF43" s="20">
        <f aca="true" t="shared" si="44" ref="AF43:AF49">AC43/M43*100</f>
        <v>6.472418982708238</v>
      </c>
    </row>
    <row r="44" spans="1:32" s="10" customFormat="1" ht="12.75">
      <c r="A44" s="134" t="s">
        <v>176</v>
      </c>
      <c r="B44" s="16">
        <v>12630.141</v>
      </c>
      <c r="C44" s="421"/>
      <c r="D44" s="16">
        <v>21720.56252</v>
      </c>
      <c r="E44" s="122"/>
      <c r="F44" s="122"/>
      <c r="G44" s="122"/>
      <c r="H44" s="122"/>
      <c r="I44" s="123"/>
      <c r="J44" s="122">
        <f t="shared" si="35"/>
        <v>171.97403037701636</v>
      </c>
      <c r="K44" s="122"/>
      <c r="L44" s="145">
        <f t="shared" si="0"/>
        <v>23175.840208840003</v>
      </c>
      <c r="M44" s="122">
        <v>24376</v>
      </c>
      <c r="N44" s="122">
        <v>17107</v>
      </c>
      <c r="O44" s="198">
        <f t="shared" si="36"/>
        <v>3073.954503255024</v>
      </c>
      <c r="P44" s="122">
        <f t="shared" si="37"/>
        <v>-21720.56252</v>
      </c>
      <c r="Q44" s="122">
        <f t="shared" si="38"/>
        <v>-100</v>
      </c>
      <c r="R44" s="122">
        <v>17131.065036343367</v>
      </c>
      <c r="S44" s="122">
        <f t="shared" si="39"/>
        <v>17131.065036343367</v>
      </c>
      <c r="T44" s="122" t="e">
        <f t="shared" si="40"/>
        <v>#DIV/0!</v>
      </c>
      <c r="U44" s="122">
        <v>3646</v>
      </c>
      <c r="V44" s="122">
        <v>9950.3</v>
      </c>
      <c r="W44" s="122">
        <f t="shared" si="41"/>
        <v>435345.5256</v>
      </c>
      <c r="X44" s="122">
        <v>7066</v>
      </c>
      <c r="Y44" s="138">
        <f t="shared" si="34"/>
        <v>7518.54548</v>
      </c>
      <c r="Z44" s="122"/>
      <c r="AA44" s="122"/>
      <c r="AB44" s="122"/>
      <c r="AC44" s="137"/>
      <c r="AD44" s="122">
        <f t="shared" si="42"/>
        <v>7518.54548</v>
      </c>
      <c r="AE44" s="20">
        <f t="shared" si="43"/>
        <v>59.528594969763205</v>
      </c>
      <c r="AF44" s="20">
        <f t="shared" si="44"/>
        <v>0</v>
      </c>
    </row>
    <row r="45" spans="1:32" s="10" customFormat="1" ht="12.75">
      <c r="A45" s="134" t="s">
        <v>174</v>
      </c>
      <c r="B45" s="145">
        <v>10522.59649</v>
      </c>
      <c r="C45" s="421"/>
      <c r="D45" s="145">
        <v>20165.26796</v>
      </c>
      <c r="E45" s="137"/>
      <c r="F45" s="137"/>
      <c r="G45" s="137"/>
      <c r="H45" s="137"/>
      <c r="I45" s="146"/>
      <c r="J45" s="137">
        <f t="shared" si="35"/>
        <v>191.63775765006076</v>
      </c>
      <c r="K45" s="137"/>
      <c r="L45" s="145">
        <f t="shared" si="0"/>
        <v>21516.340913320004</v>
      </c>
      <c r="M45" s="137">
        <v>20880</v>
      </c>
      <c r="N45" s="137">
        <v>14819</v>
      </c>
      <c r="O45" s="198">
        <f t="shared" si="36"/>
        <v>3141.9862823309445</v>
      </c>
      <c r="P45" s="137">
        <f t="shared" si="37"/>
        <v>-20165.26796</v>
      </c>
      <c r="Q45" s="137">
        <f t="shared" si="38"/>
        <v>-100</v>
      </c>
      <c r="R45" s="137">
        <v>17621.48589198063</v>
      </c>
      <c r="S45" s="137">
        <f t="shared" si="39"/>
        <v>17621.48589198063</v>
      </c>
      <c r="T45" s="137" t="e">
        <f t="shared" si="40"/>
        <v>#DIV/0!</v>
      </c>
      <c r="U45" s="137">
        <v>2663</v>
      </c>
      <c r="V45" s="137">
        <v>9774.1</v>
      </c>
      <c r="W45" s="137">
        <f t="shared" si="41"/>
        <v>312341.1396</v>
      </c>
      <c r="X45" s="137">
        <v>6418</v>
      </c>
      <c r="Y45" s="138">
        <f t="shared" si="34"/>
        <v>6392.416039999998</v>
      </c>
      <c r="Z45" s="137"/>
      <c r="AA45" s="137"/>
      <c r="AB45" s="137"/>
      <c r="AC45" s="137">
        <f t="shared" si="33"/>
        <v>636.3409133200039</v>
      </c>
      <c r="AD45" s="137">
        <f t="shared" si="42"/>
        <v>6392.416039999998</v>
      </c>
      <c r="AE45" s="20">
        <f t="shared" si="43"/>
        <v>60.749417181158094</v>
      </c>
      <c r="AF45" s="20">
        <f t="shared" si="44"/>
        <v>3.047609738122624</v>
      </c>
    </row>
    <row r="46" spans="1:32" s="10" customFormat="1" ht="12.75">
      <c r="A46" s="134" t="s">
        <v>165</v>
      </c>
      <c r="B46" s="16">
        <v>12064</v>
      </c>
      <c r="C46" s="421"/>
      <c r="D46" s="16">
        <v>22929.512489999997</v>
      </c>
      <c r="E46" s="122"/>
      <c r="F46" s="122"/>
      <c r="G46" s="122"/>
      <c r="H46" s="122"/>
      <c r="I46" s="123"/>
      <c r="J46" s="122">
        <f t="shared" si="35"/>
        <v>190.06558761604774</v>
      </c>
      <c r="K46" s="122"/>
      <c r="L46" s="145">
        <f t="shared" si="0"/>
        <v>24465.789826829998</v>
      </c>
      <c r="M46" s="122">
        <v>28603.8</v>
      </c>
      <c r="N46" s="122">
        <v>14002</v>
      </c>
      <c r="O46" s="198">
        <f t="shared" si="36"/>
        <v>3392.4415579227693</v>
      </c>
      <c r="P46" s="122">
        <f t="shared" si="37"/>
        <v>-22929.512489999997</v>
      </c>
      <c r="Q46" s="122">
        <f t="shared" si="38"/>
        <v>-100</v>
      </c>
      <c r="R46" s="122">
        <v>32070.536466080765</v>
      </c>
      <c r="S46" s="122">
        <f t="shared" si="39"/>
        <v>32070.536466080765</v>
      </c>
      <c r="T46" s="122" t="e">
        <f t="shared" si="40"/>
        <v>#DIV/0!</v>
      </c>
      <c r="U46" s="122">
        <v>4067</v>
      </c>
      <c r="V46" s="122">
        <v>9409.8</v>
      </c>
      <c r="W46" s="122">
        <f t="shared" si="41"/>
        <v>459235.87919999997</v>
      </c>
      <c r="X46" s="122">
        <v>6759</v>
      </c>
      <c r="Y46" s="138">
        <f t="shared" si="34"/>
        <v>5039.229510000002</v>
      </c>
      <c r="Z46" s="122"/>
      <c r="AA46" s="122"/>
      <c r="AB46" s="122"/>
      <c r="AC46" s="137"/>
      <c r="AD46" s="122">
        <f t="shared" si="42"/>
        <v>5039.229510000002</v>
      </c>
      <c r="AE46" s="20">
        <f t="shared" si="43"/>
        <v>41.7708016412467</v>
      </c>
      <c r="AF46" s="20">
        <f t="shared" si="44"/>
        <v>0</v>
      </c>
    </row>
    <row r="47" spans="1:32" s="10" customFormat="1" ht="12.75">
      <c r="A47" s="134" t="s">
        <v>163</v>
      </c>
      <c r="B47" s="145">
        <v>13193</v>
      </c>
      <c r="C47" s="421"/>
      <c r="D47" s="145">
        <v>26520.91309</v>
      </c>
      <c r="E47" s="137"/>
      <c r="F47" s="137"/>
      <c r="G47" s="137"/>
      <c r="H47" s="137"/>
      <c r="I47" s="146"/>
      <c r="J47" s="137">
        <f t="shared" si="35"/>
        <v>201.02261115743195</v>
      </c>
      <c r="K47" s="137"/>
      <c r="L47" s="145">
        <f t="shared" si="0"/>
        <v>28297.81426703</v>
      </c>
      <c r="M47" s="137">
        <v>25124.5</v>
      </c>
      <c r="N47" s="137">
        <v>24704</v>
      </c>
      <c r="O47" s="198">
        <f t="shared" si="36"/>
        <v>2675.367001916675</v>
      </c>
      <c r="P47" s="137">
        <f t="shared" si="37"/>
        <v>-26520.91309</v>
      </c>
      <c r="Q47" s="137">
        <f t="shared" si="38"/>
        <v>-100</v>
      </c>
      <c r="R47" s="137">
        <v>25945.96627145453</v>
      </c>
      <c r="S47" s="137">
        <f t="shared" si="39"/>
        <v>25945.96627145453</v>
      </c>
      <c r="T47" s="137" t="e">
        <f t="shared" si="40"/>
        <v>#DIV/0!</v>
      </c>
      <c r="U47" s="137">
        <v>3724</v>
      </c>
      <c r="V47" s="137">
        <v>9386.5</v>
      </c>
      <c r="W47" s="137">
        <f t="shared" si="41"/>
        <v>419463.912</v>
      </c>
      <c r="X47" s="137">
        <v>9913</v>
      </c>
      <c r="Y47" s="138">
        <f t="shared" si="34"/>
        <v>14499.080910000002</v>
      </c>
      <c r="Z47" s="137"/>
      <c r="AA47" s="137"/>
      <c r="AB47" s="137"/>
      <c r="AC47" s="137">
        <f t="shared" si="33"/>
        <v>3173.3142670300003</v>
      </c>
      <c r="AD47" s="137">
        <f t="shared" si="42"/>
        <v>14499.080910000002</v>
      </c>
      <c r="AE47" s="20">
        <f t="shared" si="43"/>
        <v>109.89980224361406</v>
      </c>
      <c r="AF47" s="20">
        <f t="shared" si="44"/>
        <v>12.630357885848476</v>
      </c>
    </row>
    <row r="48" spans="1:32" s="10" customFormat="1" ht="12.75">
      <c r="A48" s="134" t="s">
        <v>167</v>
      </c>
      <c r="B48" s="16">
        <v>13218.66919</v>
      </c>
      <c r="C48" s="421"/>
      <c r="D48" s="16">
        <v>27737.256719999998</v>
      </c>
      <c r="E48" s="122"/>
      <c r="F48" s="122"/>
      <c r="G48" s="122"/>
      <c r="H48" s="122"/>
      <c r="I48" s="123"/>
      <c r="J48" s="122">
        <f t="shared" si="35"/>
        <v>209.83395772536159</v>
      </c>
      <c r="K48" s="122"/>
      <c r="L48" s="145">
        <f t="shared" si="0"/>
        <v>29595.652920239998</v>
      </c>
      <c r="M48" s="122">
        <v>31681.6</v>
      </c>
      <c r="N48" s="122">
        <v>14899</v>
      </c>
      <c r="O48" s="345">
        <f t="shared" si="36"/>
        <v>4138.036210651946</v>
      </c>
      <c r="P48" s="122">
        <f t="shared" si="37"/>
        <v>-27737.256719999998</v>
      </c>
      <c r="Q48" s="122">
        <f t="shared" si="38"/>
        <v>-100</v>
      </c>
      <c r="R48" s="122">
        <v>22460.061926354017</v>
      </c>
      <c r="S48" s="122">
        <f t="shared" si="39"/>
        <v>22460.061926354017</v>
      </c>
      <c r="T48" s="122" t="e">
        <f t="shared" si="40"/>
        <v>#DIV/0!</v>
      </c>
      <c r="U48" s="122">
        <v>3155</v>
      </c>
      <c r="V48" s="122">
        <v>9740.8</v>
      </c>
      <c r="W48" s="122">
        <f t="shared" si="41"/>
        <v>368786.68799999997</v>
      </c>
      <c r="X48" s="122">
        <v>6703</v>
      </c>
      <c r="Y48" s="138"/>
      <c r="Z48" s="122"/>
      <c r="AA48" s="122"/>
      <c r="AB48" s="122"/>
      <c r="AC48" s="137"/>
      <c r="AD48" s="122">
        <f t="shared" si="42"/>
        <v>0</v>
      </c>
      <c r="AE48" s="20">
        <f t="shared" si="43"/>
        <v>0</v>
      </c>
      <c r="AF48" s="20">
        <f t="shared" si="44"/>
        <v>0</v>
      </c>
    </row>
    <row r="49" spans="1:32" s="10" customFormat="1" ht="13.5" thickBot="1">
      <c r="A49" s="134" t="s">
        <v>160</v>
      </c>
      <c r="B49" s="16">
        <v>7590</v>
      </c>
      <c r="C49" s="422"/>
      <c r="D49" s="16">
        <v>14065.11474</v>
      </c>
      <c r="E49" s="122"/>
      <c r="F49" s="122"/>
      <c r="G49" s="122"/>
      <c r="H49" s="122"/>
      <c r="I49" s="123"/>
      <c r="J49" s="122">
        <f t="shared" si="35"/>
        <v>185.3111296442688</v>
      </c>
      <c r="K49" s="122"/>
      <c r="L49" s="145">
        <f t="shared" si="0"/>
        <v>15007.477427580001</v>
      </c>
      <c r="M49" s="122">
        <v>14000</v>
      </c>
      <c r="N49" s="122">
        <v>12184</v>
      </c>
      <c r="O49" s="198">
        <f t="shared" si="36"/>
        <v>2565.690394016782</v>
      </c>
      <c r="P49" s="122">
        <f t="shared" si="37"/>
        <v>-14065.11474</v>
      </c>
      <c r="Q49" s="122">
        <f t="shared" si="38"/>
        <v>-100</v>
      </c>
      <c r="R49" s="122">
        <v>12777.377250269195</v>
      </c>
      <c r="S49" s="122">
        <f t="shared" si="39"/>
        <v>12777.377250269195</v>
      </c>
      <c r="T49" s="122" t="e">
        <f t="shared" si="40"/>
        <v>#DIV/0!</v>
      </c>
      <c r="U49" s="122">
        <v>2190</v>
      </c>
      <c r="V49" s="122">
        <v>8398.5</v>
      </c>
      <c r="W49" s="122">
        <f t="shared" si="41"/>
        <v>220712.58000000002</v>
      </c>
      <c r="X49" s="122">
        <v>5482</v>
      </c>
      <c r="Y49" s="138">
        <f t="shared" si="34"/>
        <v>8619.40126</v>
      </c>
      <c r="Z49" s="122"/>
      <c r="AA49" s="122"/>
      <c r="AB49" s="122"/>
      <c r="AC49" s="137">
        <f t="shared" si="33"/>
        <v>1007.477427580001</v>
      </c>
      <c r="AD49" s="152">
        <f t="shared" si="42"/>
        <v>8619.40126</v>
      </c>
      <c r="AE49" s="20">
        <f t="shared" si="43"/>
        <v>113.56259894598155</v>
      </c>
      <c r="AF49" s="20">
        <f t="shared" si="44"/>
        <v>7.19626733985715</v>
      </c>
    </row>
    <row r="50" spans="1:32" s="121" customFormat="1" ht="13.5" thickBot="1">
      <c r="A50" s="124" t="s">
        <v>81</v>
      </c>
      <c r="B50" s="125">
        <f>SUM(B9:B49)</f>
        <v>7634906.285790002</v>
      </c>
      <c r="C50" s="125"/>
      <c r="D50" s="125">
        <f>SUM(D9:D49)</f>
        <v>12443010.440349998</v>
      </c>
      <c r="E50" s="125"/>
      <c r="F50" s="125"/>
      <c r="G50" s="125"/>
      <c r="H50" s="126"/>
      <c r="I50" s="125"/>
      <c r="J50" s="125">
        <f t="shared" si="35"/>
        <v>162.97528711660524</v>
      </c>
      <c r="K50" s="125"/>
      <c r="L50" s="125">
        <f>SUM(L9:L49)</f>
        <v>13276692.139853453</v>
      </c>
      <c r="M50" s="125">
        <f>SUM(M9:M49)</f>
        <v>12478320.497</v>
      </c>
      <c r="N50" s="127">
        <f>SUM(N9:N49)</f>
        <v>3170141</v>
      </c>
      <c r="O50" s="273">
        <f>D50/X50*100</f>
        <v>781.4169766573617</v>
      </c>
      <c r="P50" s="125">
        <f>SUM(P9:P49)</f>
        <v>-12443010.440349998</v>
      </c>
      <c r="Q50" s="126">
        <f t="shared" si="38"/>
        <v>-100</v>
      </c>
      <c r="R50" s="125">
        <f>SUM(R9:R49)</f>
        <v>17538324.170386598</v>
      </c>
      <c r="S50" s="125">
        <f>SUM(S9:S49)</f>
        <v>17538324.170386598</v>
      </c>
      <c r="T50" s="128" t="e">
        <f t="shared" si="40"/>
        <v>#DIV/0!</v>
      </c>
      <c r="U50" s="129">
        <f>SUM(U9:U49)</f>
        <v>983434</v>
      </c>
      <c r="V50" s="129">
        <v>15028.741666666667</v>
      </c>
      <c r="W50" s="130">
        <f>SUM(W9:W49)</f>
        <v>191374159.86960003</v>
      </c>
      <c r="X50" s="125">
        <f>SUM(X9:X49)</f>
        <v>1592365</v>
      </c>
      <c r="Y50" s="131">
        <f>SUM(Y9:Y49)</f>
        <v>1476551.4681800003</v>
      </c>
      <c r="Z50" s="132"/>
      <c r="AA50" s="125"/>
      <c r="AB50" s="129"/>
      <c r="AC50" s="129">
        <f>SUM(AC9:AC49)</f>
        <v>850341.6708325195</v>
      </c>
      <c r="AD50" s="153">
        <f>SUM(AD9:AD49)</f>
        <v>1712234.3636907306</v>
      </c>
      <c r="AE50" s="151">
        <f>Y50/B50*100</f>
        <v>19.33948385100863</v>
      </c>
      <c r="AF50" s="133">
        <f>AC50/M50*100</f>
        <v>6.814552255144882</v>
      </c>
    </row>
    <row r="51" spans="1:27" ht="12.75">
      <c r="A51" s="116"/>
      <c r="W51" s="74"/>
      <c r="Y51" s="74"/>
      <c r="AA51" s="74"/>
    </row>
    <row r="52" ht="12.75">
      <c r="A52" s="116"/>
    </row>
    <row r="53" ht="12.75">
      <c r="A53" s="116"/>
    </row>
    <row r="54" ht="12.75">
      <c r="A54" s="116"/>
    </row>
    <row r="55" ht="12.75">
      <c r="A55" s="116"/>
    </row>
    <row r="56" ht="12.75">
      <c r="A56" s="116"/>
    </row>
    <row r="57" ht="12.75">
      <c r="A57" s="116"/>
    </row>
    <row r="58" ht="12.75">
      <c r="A58" s="116"/>
    </row>
    <row r="59" ht="12.75">
      <c r="A59" s="116"/>
    </row>
    <row r="60" ht="12.75">
      <c r="A60" s="116"/>
    </row>
    <row r="61" ht="12.75">
      <c r="A61" s="116"/>
    </row>
    <row r="62" ht="12.75">
      <c r="A62" s="116"/>
    </row>
    <row r="63" ht="12.75">
      <c r="A63" s="116"/>
    </row>
    <row r="64" ht="12.75">
      <c r="A64" s="116"/>
    </row>
  </sheetData>
  <sheetProtection/>
  <mergeCells count="34">
    <mergeCell ref="C41:C49"/>
    <mergeCell ref="C23:C29"/>
    <mergeCell ref="AF7:AF8"/>
    <mergeCell ref="Z7:Z8"/>
    <mergeCell ref="AA7:AA8"/>
    <mergeCell ref="AB7:AB8"/>
    <mergeCell ref="AC7:AC8"/>
    <mergeCell ref="AE7:AE8"/>
    <mergeCell ref="AD7:AD8"/>
    <mergeCell ref="N7:N8"/>
    <mergeCell ref="C9:C12"/>
    <mergeCell ref="C14:C18"/>
    <mergeCell ref="O7:O8"/>
    <mergeCell ref="C31:C38"/>
    <mergeCell ref="K7:K8"/>
    <mergeCell ref="E7:E8"/>
    <mergeCell ref="G7:H7"/>
    <mergeCell ref="I7:I8"/>
    <mergeCell ref="J7:J8"/>
    <mergeCell ref="M7:M8"/>
    <mergeCell ref="A7:A8"/>
    <mergeCell ref="B7:B8"/>
    <mergeCell ref="D7:D8"/>
    <mergeCell ref="C7:C8"/>
    <mergeCell ref="A5:AD5"/>
    <mergeCell ref="V7:V8"/>
    <mergeCell ref="W7:W8"/>
    <mergeCell ref="X7:X8"/>
    <mergeCell ref="Y7:Y8"/>
    <mergeCell ref="L7:L8"/>
    <mergeCell ref="P7:Q7"/>
    <mergeCell ref="R7:R8"/>
    <mergeCell ref="S7:T7"/>
    <mergeCell ref="U7:U8"/>
  </mergeCells>
  <printOptions/>
  <pageMargins left="0.27" right="0.17" top="0.35" bottom="0.33" header="0.29" footer="0.2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2011-04-14T06:06:24Z</cp:lastPrinted>
  <dcterms:created xsi:type="dcterms:W3CDTF">2007-09-03T05:22:59Z</dcterms:created>
  <dcterms:modified xsi:type="dcterms:W3CDTF">2011-04-14T06:14:58Z</dcterms:modified>
  <cp:category/>
  <cp:version/>
  <cp:contentType/>
  <cp:contentStatus/>
</cp:coreProperties>
</file>