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455" yWindow="5595" windowWidth="21015" windowHeight="6495" tabRatio="712" activeTab="9"/>
  </bookViews>
  <sheets>
    <sheet name="Дотации 2022" sheetId="1" r:id="rId1"/>
    <sheet name="Дотации 2023-2024" sheetId="2" r:id="rId2"/>
    <sheet name="База налогов" sheetId="3" r:id="rId3"/>
    <sheet name="Репрез.ставки" sheetId="4" r:id="rId4"/>
    <sheet name="Налог.потенц. 2021" sheetId="5" r:id="rId5"/>
    <sheet name="Свод индексов" sheetId="6" r:id="rId6"/>
    <sheet name="образование" sheetId="7" r:id="rId7"/>
    <sheet name="коэффициент масштаба" sheetId="8" r:id="rId8"/>
    <sheet name="Налог.потенц. 2023" sheetId="9" r:id="rId9"/>
    <sheet name="Налог.потенц. 2024" sheetId="10" r:id="rId10"/>
  </sheets>
  <definedNames>
    <definedName name="wrn.Проект._.бюджета._.1997г.." localSheetId="1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localSheetId="7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localSheetId="6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localSheetId="5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1" hidden="1">{#N/A,#N/A,TRUE,"Дох_к";#N/A,#N/A,TRUE,"Расх_к";#N/A,#N/A,TRUE,"Дох_о";#N/A,#N/A,TRUE,"Расх_о";#N/A,#N/A,TRUE,"Ст8_9";#N/A,#N/A,TRUE,"Ст_10";#N/A,#N/A,TRUE,"Ст11_15"}</definedName>
    <definedName name="ввв" localSheetId="7" hidden="1">{#N/A,#N/A,TRUE,"Дох_к";#N/A,#N/A,TRUE,"Расх_к";#N/A,#N/A,TRUE,"Дох_о";#N/A,#N/A,TRUE,"Расх_о";#N/A,#N/A,TRUE,"Ст8_9";#N/A,#N/A,TRUE,"Ст_10";#N/A,#N/A,TRUE,"Ст11_15"}</definedName>
    <definedName name="ввв" localSheetId="6" hidden="1">{#N/A,#N/A,TRUE,"Дох_к";#N/A,#N/A,TRUE,"Расх_к";#N/A,#N/A,TRUE,"Дох_о";#N/A,#N/A,TRUE,"Расх_о";#N/A,#N/A,TRUE,"Ст8_9";#N/A,#N/A,TRUE,"Ст_10";#N/A,#N/A,TRUE,"Ст11_15"}</definedName>
    <definedName name="ввв" localSheetId="5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2">'База налогов'!$A:$A</definedName>
    <definedName name="_xlnm.Print_Titles" localSheetId="0">'Дотации 2022'!$6:$7</definedName>
    <definedName name="_xlnm.Print_Titles" localSheetId="4">'Налог.потенц. 2021'!$A:$A</definedName>
    <definedName name="_xlnm.Print_Titles" localSheetId="3">'Репрез.ставки'!$4:$7</definedName>
    <definedName name="_xlnm.Print_Titles" localSheetId="5">'Свод индексов'!$4:$8</definedName>
    <definedName name="_xlnm.Print_Area" localSheetId="2">'База налогов'!$A$1:$J$47</definedName>
    <definedName name="_xlnm.Print_Area" localSheetId="0">'Дотации 2022'!$A$1:$J$48</definedName>
    <definedName name="_xlnm.Print_Area" localSheetId="1">'Дотации 2023-2024'!$A$1:$N$49</definedName>
    <definedName name="_xlnm.Print_Area" localSheetId="7">'коэффициент масштаба'!$A$1:$C$45</definedName>
    <definedName name="_xlnm.Print_Area" localSheetId="4">'Налог.потенц. 2021'!$A$1:$K$46</definedName>
    <definedName name="_xlnm.Print_Area" localSheetId="6">'образование'!$A$1:$H$46</definedName>
    <definedName name="_xlnm.Print_Area" localSheetId="3">'Репрез.ставки'!$A$1:$J$20</definedName>
    <definedName name="_xlnm.Print_Area" localSheetId="5">'Свод индексов'!$A$1:$E$52</definedName>
  </definedNames>
  <calcPr fullCalcOnLoad="1"/>
</workbook>
</file>

<file path=xl/sharedStrings.xml><?xml version="1.0" encoding="utf-8"?>
<sst xmlns="http://schemas.openxmlformats.org/spreadsheetml/2006/main" count="596" uniqueCount="195">
  <si>
    <t>Самара</t>
  </si>
  <si>
    <t>Тольятти</t>
  </si>
  <si>
    <t>Сызрань</t>
  </si>
  <si>
    <t>Чапаевск</t>
  </si>
  <si>
    <t>Отрадный</t>
  </si>
  <si>
    <t>Октябрьск</t>
  </si>
  <si>
    <t>Кинель</t>
  </si>
  <si>
    <t>Борский</t>
  </si>
  <si>
    <t>Волжский</t>
  </si>
  <si>
    <t>Елховский</t>
  </si>
  <si>
    <t>Шигонский</t>
  </si>
  <si>
    <t>Новокуйбышевск</t>
  </si>
  <si>
    <t>Жигулёвск</t>
  </si>
  <si>
    <t>Похвистнево</t>
  </si>
  <si>
    <t>Алексеевский</t>
  </si>
  <si>
    <t>Безенчукский</t>
  </si>
  <si>
    <t>Богатовский</t>
  </si>
  <si>
    <t>Исаклинский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</si>
  <si>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</si>
  <si>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</si>
  <si>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</si>
  <si>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</si>
  <si>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</si>
  <si>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Красноярский</t>
  </si>
  <si>
    <t>Камышлинский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</si>
  <si>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</si>
  <si>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</si>
  <si>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</si>
  <si>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</si>
  <si>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</si>
  <si>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</si>
  <si>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</si>
  <si>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Хворостянский</t>
  </si>
  <si>
    <t>Челно-Вершинский</t>
  </si>
  <si>
    <t>Шенталинский</t>
  </si>
  <si>
    <t>ИТОГО</t>
  </si>
  <si>
    <t>Большеглушицкий</t>
  </si>
  <si>
    <t>Большечерниговский</t>
  </si>
  <si>
    <t>(1)</t>
  </si>
  <si>
    <t>(2)</t>
  </si>
  <si>
    <t>(3)</t>
  </si>
  <si>
    <t>(4)</t>
  </si>
  <si>
    <t>(5)</t>
  </si>
  <si>
    <t>(7)</t>
  </si>
  <si>
    <t>Наименование городского округа (муниципального района)</t>
  </si>
  <si>
    <t>(8)</t>
  </si>
  <si>
    <t>(6)</t>
  </si>
  <si>
    <t>Налоговый потенциал (НП), тыс.рублей</t>
  </si>
  <si>
    <t>Индекс бюджет-ных расходов (ИБР)</t>
  </si>
  <si>
    <t>Наименование муниципального образования</t>
  </si>
  <si>
    <t xml:space="preserve">Ставропольский </t>
  </si>
  <si>
    <t>(9)</t>
  </si>
  <si>
    <t>(10)</t>
  </si>
  <si>
    <t>(11)</t>
  </si>
  <si>
    <t>Итоговый размер дотаций на выравнивание бюджетной обеспеченности МР (ГО) с учётом [7], тыс. рублей</t>
  </si>
  <si>
    <t>Численность жителей поселений, из бюджетов кот. предоставляются субсидии в обл. бюджет, чел.</t>
  </si>
  <si>
    <t>Жигулевск</t>
  </si>
  <si>
    <t>Налог, взимаемый в связи с применением патентной системы налогообложения</t>
  </si>
  <si>
    <t>ЕНВД</t>
  </si>
  <si>
    <t>НДФЛ</t>
  </si>
  <si>
    <t>Вид налога</t>
  </si>
  <si>
    <t>Земельный налог (поселения)</t>
  </si>
  <si>
    <t>Земельный налог (ГО)</t>
  </si>
  <si>
    <t xml:space="preserve">Единый сельскохозяйственный налог </t>
  </si>
  <si>
    <t>Единый налог на вменённый доход для определённых видов деятельности (МР)</t>
  </si>
  <si>
    <t>Единый налог на вменённый доход для определённых видов деятельности (ГО)</t>
  </si>
  <si>
    <t>Налог на доходы физических лиц (МР, поселения)</t>
  </si>
  <si>
    <t xml:space="preserve">Налог на доходы физических лиц (ГО) </t>
  </si>
  <si>
    <t>Сумма налоговых
баз по муниципаль- ным образованиям</t>
  </si>
  <si>
    <t xml:space="preserve">Шигонский </t>
  </si>
  <si>
    <t xml:space="preserve">Шенталинский </t>
  </si>
  <si>
    <t xml:space="preserve">Челно-Вершинский </t>
  </si>
  <si>
    <t xml:space="preserve">Хворостянский </t>
  </si>
  <si>
    <t xml:space="preserve">Сызранский </t>
  </si>
  <si>
    <t xml:space="preserve">Сергиевский </t>
  </si>
  <si>
    <t xml:space="preserve">Приволжский </t>
  </si>
  <si>
    <t xml:space="preserve">Похвистневский </t>
  </si>
  <si>
    <t xml:space="preserve">Пестравский </t>
  </si>
  <si>
    <t xml:space="preserve">Нефтегорский </t>
  </si>
  <si>
    <t xml:space="preserve">Камышлинский </t>
  </si>
  <si>
    <t xml:space="preserve">Красноярский </t>
  </si>
  <si>
    <t xml:space="preserve">Красноармейский </t>
  </si>
  <si>
    <t xml:space="preserve">Кошкинский </t>
  </si>
  <si>
    <t xml:space="preserve">Клявлинский </t>
  </si>
  <si>
    <t xml:space="preserve">Кинель-Черкасский </t>
  </si>
  <si>
    <t xml:space="preserve">Кинельский </t>
  </si>
  <si>
    <t xml:space="preserve">Исаклинский </t>
  </si>
  <si>
    <t xml:space="preserve">Елховский </t>
  </si>
  <si>
    <t xml:space="preserve">Борский </t>
  </si>
  <si>
    <t xml:space="preserve">Большечерниговский </t>
  </si>
  <si>
    <t xml:space="preserve">Большеглушицкий </t>
  </si>
  <si>
    <t xml:space="preserve">Безенчукский </t>
  </si>
  <si>
    <t>Земельный налог</t>
  </si>
  <si>
    <t>Единый налог на вменён. доход</t>
  </si>
  <si>
    <t>Налог на доходы физических лиц</t>
  </si>
  <si>
    <t>Налоговый потенциал</t>
  </si>
  <si>
    <t>Отрицате- льные транс- ферты</t>
  </si>
  <si>
    <t xml:space="preserve">Налоговый потенциал, с учетом отрицательных трансфертов </t>
  </si>
  <si>
    <r>
      <t>Дошкольное образование (07 01)</t>
    </r>
    <r>
      <rPr>
        <sz val="12"/>
        <rFont val="Times New Roman Cyr"/>
        <family val="0"/>
      </rPr>
      <t xml:space="preserve"> </t>
    </r>
  </si>
  <si>
    <t xml:space="preserve">Всего расходов </t>
  </si>
  <si>
    <t>Общее образование (07 02)</t>
  </si>
  <si>
    <t>МУНИЦИПАЛЬНЫЕ РАЙОНЫ</t>
  </si>
  <si>
    <t>d2</t>
  </si>
  <si>
    <t>d1</t>
  </si>
  <si>
    <t>Доля влияния факторов</t>
  </si>
  <si>
    <t>Наименование м.о.</t>
  </si>
  <si>
    <t>Индекс бюджетных расходов</t>
  </si>
  <si>
    <t>Индексы</t>
  </si>
  <si>
    <t>На 1 тыс. чел.</t>
  </si>
  <si>
    <t>Число лиц школьного возраста, чел.
(5-15 лет)</t>
  </si>
  <si>
    <t>Число лиц дошкольного возраста (до 4 лет), чел.</t>
  </si>
  <si>
    <t>Расчёт индекса затратности по дошкольному и общему образованию</t>
  </si>
  <si>
    <t>Коэффициент масштаба
(1,1- [(Чi-Чmin)/(Чmax-Чmin)]*0,2</t>
  </si>
  <si>
    <t>Единый с/х налог</t>
  </si>
  <si>
    <t>Налог на имущество физ. лиц</t>
  </si>
  <si>
    <t>Вид налога:</t>
  </si>
  <si>
    <t>ГОРОДСКИЕ ОКРУГА (ГОВД)</t>
  </si>
  <si>
    <t>ИЗдошк.; ИЗобщ.обр.
(таблица 6)</t>
  </si>
  <si>
    <t>В том числе:</t>
  </si>
  <si>
    <t>Налоговая база, итого</t>
  </si>
  <si>
    <t xml:space="preserve">Налог на имущество физических лиц </t>
  </si>
  <si>
    <t>Расчёт коэффициента масштаба</t>
  </si>
  <si>
    <t>Коэффи-циент масштаба
(таблица 7)</t>
  </si>
  <si>
    <t>(ИЗдошк.*d1 + ИЗобщ.обр.*d2+1–(d1+d2))*КМ</t>
  </si>
  <si>
    <t>УСН</t>
  </si>
  <si>
    <t>(2)=(3)+(4)</t>
  </si>
  <si>
    <t>Налог, взимаемый в связи с применением упрощенной системы налогообложения</t>
  </si>
  <si>
    <t>Налог, взимаемый в связи с применением упрощенной системы налогообложения (МР)</t>
  </si>
  <si>
    <t>планируемый на</t>
  </si>
  <si>
    <t>Количество налогоплательщиков, представивших налоговые декларации по налогу, уплачиваемому в связи с применением упрощенной системы налогообложения (строка 2100 + строка 2200 отчета 5-УСН)</t>
  </si>
  <si>
    <t>Налог, взимаемый в связи с применением упрощенной системы налогообложения (ГО)*</t>
  </si>
  <si>
    <t>Расчёт дотаций на выравнивание бюджетной обеспеченности муниципальных районов (ГО, ГОВД) и дотаций на выравнивание</t>
  </si>
  <si>
    <t>Численность населения на 01.01.2020, чел.</t>
  </si>
  <si>
    <t>2022 год</t>
  </si>
  <si>
    <t>2023 год</t>
  </si>
  <si>
    <t>(8)=(3)/(2)х(4)х(5)</t>
  </si>
  <si>
    <t>(9)=(8)*(6)</t>
  </si>
  <si>
    <t>(10)=(9)*(7)</t>
  </si>
  <si>
    <t>Коэффициенты изменения бюджетного и 
налогового законодательства</t>
  </si>
  <si>
    <t>(методика расчета и распределений дотаций утверждена Законом Самарской области от 28.12.2005 № 235-ГД «О бюджетном устройстве 
и бюджетном процессе в Самарской области»)</t>
  </si>
  <si>
    <t>Репрезентативная налоговая ставка 
на 2023 год</t>
  </si>
  <si>
    <t>(2)=(4)-(3)</t>
  </si>
  <si>
    <t>(4)=(5)+…+(11)</t>
  </si>
  <si>
    <t>Численность постоянного населения на 01.01.2021, чел.</t>
  </si>
  <si>
    <t>Численность населения на 01.01.2021, чел.</t>
  </si>
  <si>
    <t>(данные по состоянию на 01.01.2020)</t>
  </si>
  <si>
    <t>Расчёт индекса бюджетных расходов на 2022-2024 годы</t>
  </si>
  <si>
    <t>Расходы местных бюджетов без учета целевых средств 
по отчету 402r за 2020 год</t>
  </si>
  <si>
    <t>Расчёт показателей налоговых потенциалов для муниципальных образований на 2022 год</t>
  </si>
  <si>
    <t>Расчёт репрезентативной налоговой ставки по каждому виду налога на 2022-2024 годы</t>
  </si>
  <si>
    <t>Фактическое поступление в бюджеты ГО и МР за 2020 год, тыс.рублей</t>
  </si>
  <si>
    <t>в 2021 году</t>
  </si>
  <si>
    <t>2024 год</t>
  </si>
  <si>
    <t xml:space="preserve">Репрезентативная налоговая ставка 
на 2022 год </t>
  </si>
  <si>
    <t>Репрезентативная налоговая ставка 
на 2024 год</t>
  </si>
  <si>
    <t>бюджетной обеспеченности поселений (переводимых в субвенции) на 2022 год</t>
  </si>
  <si>
    <t>Сумма дотации, ранее утверждённая в законе об областном бюджете на 2022 год, тыс.рублей</t>
  </si>
  <si>
    <t>Налоговая база по ставке 13% за 2020 год (строка 2030 раздела IX отчета 5-НДФЛ за 2020 год), тыс. руб.</t>
  </si>
  <si>
    <t>Сумма дополнительного дохода, заявленная в декларациях 3-НДФЛ за 2019 год (общая сумма облагаемого дохода по ставке 13% - строка 2050 раздела II отчета 5-ДДК за 2019 год), тыс. руб.</t>
  </si>
  <si>
    <t>Количество плательщиков в 2020 году</t>
  </si>
  <si>
    <t>Налогообла-гаемая база за 2020 год,  тыс.руб.</t>
  </si>
  <si>
    <t>Выдано патентов за 2020 год</t>
  </si>
  <si>
    <t>тыс. рублей</t>
  </si>
  <si>
    <t>Сумма налога, подлежащая уплате в бюджет за 2020 год (строка 1600 раздела I и строка 2500 раздела II отчета 5-МН за 2020 год) + сумма налога, не поступившая в местный бюджет в связи с предоставлением налогоплательщикам местных льгот (строка 1740 раздела I и строка 2640 раздела II отчета 5-МН за 2020 год), тыс.руб.</t>
  </si>
  <si>
    <t>Сумма налога, подлежащая уплате в бюджет за 2020 год (строка 3500 раздела III отчета 5-МН за 2020 год) + сумма налога, не поступившая в местный бюджет в связи с предоставлением налогоплательщикам местных льгот (строка 3650 раздела III отчета 5-МН за 2020 год), тыс.руб.</t>
  </si>
  <si>
    <t xml:space="preserve">Исходные данные для расчёта показателя налогового потенциала муниципальных образований на 2022-2024 годы </t>
  </si>
  <si>
    <r>
      <t>* для городского округа с внутригородским делением  Самара нормативы отчислений от налога по УСН увеличены с 2021 года с 2% до 15% (КЗ</t>
    </r>
    <r>
      <rPr>
        <sz val="8"/>
        <rFont val="Times New Roman"/>
        <family val="1"/>
      </rPr>
      <t>2021</t>
    </r>
    <r>
      <rPr>
        <sz val="11"/>
        <rFont val="Times New Roman"/>
        <family val="1"/>
      </rPr>
      <t>=7,5; КЗ</t>
    </r>
    <r>
      <rPr>
        <sz val="8"/>
        <rFont val="Times New Roman"/>
        <family val="1"/>
      </rPr>
      <t>2022-2024</t>
    </r>
    <r>
      <rPr>
        <sz val="11"/>
        <rFont val="Times New Roman"/>
        <family val="1"/>
      </rPr>
      <t>=1,0</t>
    </r>
    <r>
      <rPr>
        <sz val="11"/>
        <rFont val="Times New Roman"/>
        <family val="1"/>
      </rPr>
      <t>)</t>
    </r>
  </si>
  <si>
    <t>Расчёт показателей налоговых потенциалов для муниципальных образований на 2023 год</t>
  </si>
  <si>
    <t>Расчёт показателей налоговых потенциалов для муниципальных образований на 2024 год</t>
  </si>
  <si>
    <t>Налоговый потенциал (НП) 2023, тыс.рублей</t>
  </si>
  <si>
    <t>(11)=(8)*0,8</t>
  </si>
  <si>
    <t>(12)=(9)*0,8</t>
  </si>
  <si>
    <t>ГОРОДСКИЕ ОКРУГА:</t>
  </si>
  <si>
    <t>МУНИЦИПАЛЬНЫЕ РАЙОНЫ:</t>
  </si>
  <si>
    <t>Нераспределённый резерв</t>
  </si>
  <si>
    <t>Расчёт дотаций на выравнивание бюджетной обеспеченности на 2023-2024 годы</t>
  </si>
  <si>
    <t>Налоговый потенциал (НП) 2024, тыс.рублей</t>
  </si>
  <si>
    <t>Расчётная бюджетная обеспечен-ность (РБО) 2023 года,
[2]/[4]/9,695/[5]</t>
  </si>
  <si>
    <t>Расчётная бюджетная обеспечен-ность (РБО) 2024 года,
[3]/[4]/9,806/[5]</t>
  </si>
  <si>
    <t>Сумма дотации, ранее утверждённая в законе об областном бюджете на 2023 год, тыс.рублей</t>
  </si>
  <si>
    <t xml:space="preserve">Размер дотаций на выравнивание бюджетной обеспеченности МР (ГО) с учетом формирования нераспределенного объема дотаций в размере не более 20% от общего объема
</t>
  </si>
  <si>
    <t>на 2023 год, тыс.рублей</t>
  </si>
  <si>
    <t>на 2024 год, тыс.рублей</t>
  </si>
  <si>
    <t>Итоговый размер дотаций на выравнивание бюджетной обеспеченности МР (ГО)</t>
  </si>
  <si>
    <t>на 2023 год с учётом [10], тыс.рублей</t>
  </si>
  <si>
    <t>9. Таблица 1</t>
  </si>
  <si>
    <t>9. Таблица 1.1</t>
  </si>
  <si>
    <t xml:space="preserve">9. Таблица 2 </t>
  </si>
  <si>
    <t>9. Таблица 3</t>
  </si>
  <si>
    <t>9. Таблица 4</t>
  </si>
  <si>
    <t>9. Таблица 5</t>
  </si>
  <si>
    <t>9. Таблица 6</t>
  </si>
  <si>
    <t>9. Таблица 7</t>
  </si>
  <si>
    <t>9. Таблица 8</t>
  </si>
  <si>
    <t>9. Таблица 9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</si>
</sst>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0.00000"/>
    <numFmt numFmtId="177" formatCode="0.000"/>
    <numFmt numFmtId="178" formatCode="_-* #,##0\ _р_._-;\-* #,##0\ _р_._-;_-* &quot;-&quot;??\ _р_._-;_-@_-"/>
    <numFmt numFmtId="179" formatCode="#,##0.0"/>
    <numFmt numFmtId="180" formatCode="#,##0_ ;[Red]\-#,##0\ "/>
    <numFmt numFmtId="181" formatCode="_-* #,##0_р_._-;\-* #,##0_р_._-;_-* &quot;-&quot;??_р_._-;_-@_-"/>
    <numFmt numFmtId="182" formatCode="#,##0.000"/>
    <numFmt numFmtId="183" formatCode="#,##0.00000000"/>
    <numFmt numFmtId="184" formatCode="#,##0.000000_ ;[Red]\-#,##0.000000\ "/>
    <numFmt numFmtId="185" formatCode="#,##0.000000000000"/>
    <numFmt numFmtId="186" formatCode="#,##0.000_ ;[Red]\-#,##0.000\ "/>
    <numFmt numFmtId="187" formatCode="#,##0.0_ ;[Red]\-#,##0.0\ "/>
    <numFmt numFmtId="188" formatCode="0.0"/>
    <numFmt numFmtId="189" formatCode="#,##0.0000_ ;[Red]\-#,##0.000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0"/>
  </numFmts>
  <fonts count="7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0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Times new roman cyr"/>
      <family val="1"/>
    </font>
    <font>
      <sz val="9"/>
      <name val="Times new roman cyr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2"/>
      <name val="Times New Roman Cyr"/>
      <family val="0"/>
    </font>
    <font>
      <sz val="12.5"/>
      <name val="Times New Roman Cyr"/>
      <family val="0"/>
    </font>
    <font>
      <sz val="12"/>
      <color indexed="8"/>
      <name val="Times New Roman"/>
      <family val="1"/>
    </font>
    <font>
      <sz val="11"/>
      <name val="Arial Cyr"/>
      <family val="0"/>
    </font>
    <font>
      <sz val="10.5"/>
      <name val="Times new roman cyr"/>
      <family val="1"/>
    </font>
    <font>
      <sz val="10.5"/>
      <name val="Times New Roman"/>
      <family val="1"/>
    </font>
    <font>
      <sz val="8"/>
      <name val="Times New Roman"/>
      <family val="1"/>
    </font>
    <font>
      <i/>
      <sz val="12"/>
      <name val="Times new roman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2"/>
      <color indexed="10"/>
      <name val="Times new roman cyr"/>
      <family val="0"/>
    </font>
    <font>
      <sz val="12"/>
      <color indexed="52"/>
      <name val="Times new roman cyr"/>
      <family val="1"/>
    </font>
    <font>
      <sz val="12"/>
      <color indexed="63"/>
      <name val="Times new roman cyr"/>
      <family val="1"/>
    </font>
    <font>
      <b/>
      <sz val="10"/>
      <color indexed="10"/>
      <name val="Times new roman cyr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C00000"/>
      <name val="Times new roman cyr"/>
      <family val="0"/>
    </font>
    <font>
      <sz val="12"/>
      <color theme="5" tint="-0.24997000396251678"/>
      <name val="Times new roman cyr"/>
      <family val="1"/>
    </font>
    <font>
      <sz val="12"/>
      <color theme="1"/>
      <name val="Times new roman cyr"/>
      <family val="1"/>
    </font>
    <font>
      <b/>
      <sz val="10"/>
      <color rgb="FFC00000"/>
      <name val="Times new roman cyr"/>
      <family val="1"/>
    </font>
    <font>
      <b/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/>
      <protection/>
    </xf>
    <xf numFmtId="0" fontId="50" fillId="20" borderId="0" applyNumberFormat="0" applyBorder="0" applyAlignment="0" applyProtection="0"/>
    <xf numFmtId="0" fontId="50" fillId="15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65" fillId="31" borderId="0" applyNumberFormat="0" applyBorder="0" applyAlignment="0" applyProtection="0"/>
    <xf numFmtId="0" fontId="11" fillId="32" borderId="10">
      <alignment horizontal="left" vertical="top" wrapText="1"/>
      <protection/>
    </xf>
  </cellStyleXfs>
  <cellXfs count="265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17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Alignment="1" applyProtection="1">
      <alignment/>
      <protection/>
    </xf>
    <xf numFmtId="3" fontId="7" fillId="0" borderId="0" xfId="0" applyNumberFormat="1" applyFont="1" applyAlignment="1" applyProtection="1">
      <alignment horizontal="right"/>
      <protection/>
    </xf>
    <xf numFmtId="0" fontId="8" fillId="33" borderId="10" xfId="0" applyFont="1" applyFill="1" applyBorder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/>
      <protection/>
    </xf>
    <xf numFmtId="3" fontId="7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3" fontId="9" fillId="0" borderId="0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34" borderId="0" xfId="0" applyFont="1" applyFill="1" applyAlignment="1" applyProtection="1">
      <alignment/>
      <protection/>
    </xf>
    <xf numFmtId="0" fontId="7" fillId="34" borderId="0" xfId="0" applyFont="1" applyFill="1" applyAlignment="1" applyProtection="1">
      <alignment horizontal="right"/>
      <protection/>
    </xf>
    <xf numFmtId="0" fontId="7" fillId="0" borderId="0" xfId="0" applyFont="1" applyAlignment="1" applyProtection="1">
      <alignment horizontal="center" vertical="center"/>
      <protection/>
    </xf>
    <xf numFmtId="0" fontId="66" fillId="0" borderId="0" xfId="0" applyFont="1" applyAlignment="1" applyProtection="1">
      <alignment/>
      <protection/>
    </xf>
    <xf numFmtId="3" fontId="9" fillId="0" borderId="0" xfId="0" applyNumberFormat="1" applyFont="1" applyBorder="1" applyAlignment="1">
      <alignment horizontal="left" vertical="center"/>
    </xf>
    <xf numFmtId="0" fontId="7" fillId="0" borderId="0" xfId="54" applyFont="1">
      <alignment/>
      <protection/>
    </xf>
    <xf numFmtId="3" fontId="7" fillId="0" borderId="0" xfId="54" applyNumberFormat="1" applyFont="1">
      <alignment/>
      <protection/>
    </xf>
    <xf numFmtId="3" fontId="9" fillId="0" borderId="0" xfId="54" applyNumberFormat="1" applyFont="1">
      <alignment/>
      <protection/>
    </xf>
    <xf numFmtId="3" fontId="8" fillId="33" borderId="10" xfId="54" applyNumberFormat="1" applyFont="1" applyFill="1" applyBorder="1" applyAlignment="1">
      <alignment horizontal="right" vertical="center" indent="1"/>
      <protection/>
    </xf>
    <xf numFmtId="0" fontId="7" fillId="0" borderId="0" xfId="54" applyFont="1" applyBorder="1">
      <alignment/>
      <protection/>
    </xf>
    <xf numFmtId="0" fontId="7" fillId="0" borderId="0" xfId="54" applyFont="1" applyFill="1" applyBorder="1">
      <alignment/>
      <protection/>
    </xf>
    <xf numFmtId="0" fontId="7" fillId="0" borderId="0" xfId="54" applyFont="1" applyBorder="1" applyAlignment="1">
      <alignment vertical="center" wrapText="1"/>
      <protection/>
    </xf>
    <xf numFmtId="49" fontId="7" fillId="0" borderId="10" xfId="54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 wrapText="1"/>
      <protection/>
    </xf>
    <xf numFmtId="0" fontId="18" fillId="35" borderId="10" xfId="54" applyNumberFormat="1" applyFont="1" applyFill="1" applyBorder="1" applyAlignment="1" applyProtection="1">
      <alignment horizontal="center" vertical="center" wrapText="1"/>
      <protection/>
    </xf>
    <xf numFmtId="0" fontId="7" fillId="35" borderId="10" xfId="54" applyNumberFormat="1" applyFont="1" applyFill="1" applyBorder="1" applyAlignment="1" applyProtection="1">
      <alignment horizontal="center" vertical="center" wrapText="1"/>
      <protection/>
    </xf>
    <xf numFmtId="0" fontId="7" fillId="35" borderId="10" xfId="54" applyFont="1" applyFill="1" applyBorder="1" applyAlignment="1">
      <alignment horizontal="center" vertical="center" wrapText="1"/>
      <protection/>
    </xf>
    <xf numFmtId="0" fontId="12" fillId="0" borderId="0" xfId="54" applyFont="1" applyAlignment="1">
      <alignment vertical="center"/>
      <protection/>
    </xf>
    <xf numFmtId="0" fontId="12" fillId="0" borderId="0" xfId="54" applyFont="1" applyAlignment="1">
      <alignment vertical="center" wrapText="1"/>
      <protection/>
    </xf>
    <xf numFmtId="0" fontId="12" fillId="0" borderId="0" xfId="54" applyFont="1" applyAlignment="1">
      <alignment vertical="center"/>
      <protection/>
    </xf>
    <xf numFmtId="49" fontId="12" fillId="36" borderId="10" xfId="54" applyNumberFormat="1" applyFont="1" applyFill="1" applyBorder="1" applyAlignment="1">
      <alignment horizontal="center" vertical="center" wrapText="1"/>
      <protection/>
    </xf>
    <xf numFmtId="0" fontId="12" fillId="26" borderId="0" xfId="54" applyFont="1" applyFill="1" applyBorder="1" applyAlignment="1">
      <alignment vertical="center"/>
      <protection/>
    </xf>
    <xf numFmtId="0" fontId="12" fillId="26" borderId="0" xfId="54" applyFont="1" applyFill="1" applyBorder="1" applyAlignment="1">
      <alignment vertical="center" wrapText="1"/>
      <protection/>
    </xf>
    <xf numFmtId="0" fontId="7" fillId="0" borderId="0" xfId="54" applyFont="1" applyAlignment="1">
      <alignment vertical="center"/>
      <protection/>
    </xf>
    <xf numFmtId="2" fontId="7" fillId="0" borderId="0" xfId="54" applyNumberFormat="1" applyFont="1" applyAlignment="1">
      <alignment vertical="center"/>
      <protection/>
    </xf>
    <xf numFmtId="3" fontId="7" fillId="0" borderId="0" xfId="54" applyNumberFormat="1" applyFont="1" applyAlignment="1">
      <alignment vertical="center"/>
      <protection/>
    </xf>
    <xf numFmtId="0" fontId="8" fillId="0" borderId="0" xfId="54" applyFont="1" applyAlignment="1">
      <alignment vertical="center"/>
      <protection/>
    </xf>
    <xf numFmtId="3" fontId="8" fillId="33" borderId="10" xfId="55" applyNumberFormat="1" applyFont="1" applyFill="1" applyBorder="1" applyAlignment="1">
      <alignment horizontal="center" vertical="center"/>
      <protection/>
    </xf>
    <xf numFmtId="4" fontId="8" fillId="33" borderId="10" xfId="55" applyNumberFormat="1" applyFont="1" applyFill="1" applyBorder="1" applyAlignment="1">
      <alignment horizontal="center" vertical="center"/>
      <protection/>
    </xf>
    <xf numFmtId="0" fontId="7" fillId="0" borderId="0" xfId="54" applyFont="1" applyBorder="1" applyAlignment="1">
      <alignment vertical="center"/>
      <protection/>
    </xf>
    <xf numFmtId="0" fontId="7" fillId="0" borderId="0" xfId="54" applyFont="1" applyFill="1" applyBorder="1" applyAlignment="1">
      <alignment vertical="center"/>
      <protection/>
    </xf>
    <xf numFmtId="49" fontId="7" fillId="33" borderId="10" xfId="54" applyNumberFormat="1" applyFont="1" applyFill="1" applyBorder="1" applyAlignment="1">
      <alignment horizontal="center" vertical="center" wrapText="1"/>
      <protection/>
    </xf>
    <xf numFmtId="0" fontId="7" fillId="33" borderId="10" xfId="54" applyNumberFormat="1" applyFont="1" applyFill="1" applyBorder="1" applyAlignment="1" applyProtection="1">
      <alignment horizontal="center" vertical="center" wrapText="1"/>
      <protection/>
    </xf>
    <xf numFmtId="0" fontId="7" fillId="33" borderId="10" xfId="54" applyFont="1" applyFill="1" applyBorder="1" applyAlignment="1">
      <alignment horizontal="center" vertical="center" wrapText="1"/>
      <protection/>
    </xf>
    <xf numFmtId="0" fontId="21" fillId="33" borderId="10" xfId="54" applyFont="1" applyFill="1" applyBorder="1" applyAlignment="1">
      <alignment horizontal="center" vertical="center" wrapText="1"/>
      <protection/>
    </xf>
    <xf numFmtId="0" fontId="7" fillId="34" borderId="0" xfId="54" applyFont="1" applyFill="1" applyAlignment="1">
      <alignment vertical="center"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" fontId="8" fillId="23" borderId="10" xfId="0" applyNumberFormat="1" applyFont="1" applyFill="1" applyBorder="1" applyAlignment="1" applyProtection="1">
      <alignment horizontal="right"/>
      <protection/>
    </xf>
    <xf numFmtId="3" fontId="8" fillId="23" borderId="10" xfId="0" applyNumberFormat="1" applyFont="1" applyFill="1" applyBorder="1" applyAlignment="1">
      <alignment horizontal="right" vertical="center" indent="1"/>
    </xf>
    <xf numFmtId="0" fontId="8" fillId="23" borderId="1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right"/>
    </xf>
    <xf numFmtId="0" fontId="7" fillId="34" borderId="0" xfId="0" applyFont="1" applyFill="1" applyAlignment="1">
      <alignment horizontal="left"/>
    </xf>
    <xf numFmtId="0" fontId="7" fillId="0" borderId="0" xfId="0" applyFont="1" applyFill="1" applyBorder="1" applyAlignment="1" applyProtection="1">
      <alignment/>
      <protection/>
    </xf>
    <xf numFmtId="0" fontId="67" fillId="30" borderId="11" xfId="0" applyFont="1" applyFill="1" applyBorder="1" applyAlignment="1" applyProtection="1">
      <alignment vertical="center"/>
      <protection/>
    </xf>
    <xf numFmtId="3" fontId="16" fillId="0" borderId="0" xfId="54" applyNumberFormat="1" applyFont="1" applyFill="1" applyBorder="1" applyAlignment="1">
      <alignment horizontal="right" vertical="center" indent="1"/>
      <protection/>
    </xf>
    <xf numFmtId="181" fontId="13" fillId="0" borderId="0" xfId="68" applyNumberFormat="1" applyFont="1" applyFill="1" applyBorder="1" applyAlignment="1" applyProtection="1">
      <alignment horizontal="center" vertical="center"/>
      <protection/>
    </xf>
    <xf numFmtId="3" fontId="15" fillId="0" borderId="0" xfId="54" applyNumberFormat="1" applyFont="1" applyFill="1" applyBorder="1" applyAlignment="1">
      <alignment horizontal="center" vertical="center"/>
      <protection/>
    </xf>
    <xf numFmtId="3" fontId="13" fillId="0" borderId="0" xfId="54" applyNumberFormat="1" applyFont="1" applyFill="1" applyBorder="1" applyAlignment="1" applyProtection="1">
      <alignment horizontal="center" vertical="center"/>
      <protection/>
    </xf>
    <xf numFmtId="0" fontId="7" fillId="0" borderId="0" xfId="33" applyFont="1" applyFill="1" applyBorder="1" applyAlignment="1">
      <alignment vertical="center"/>
      <protection/>
    </xf>
    <xf numFmtId="181" fontId="9" fillId="0" borderId="0" xfId="68" applyNumberFormat="1" applyFont="1" applyFill="1" applyBorder="1" applyAlignment="1">
      <alignment/>
    </xf>
    <xf numFmtId="181" fontId="9" fillId="0" borderId="0" xfId="68" applyNumberFormat="1" applyFont="1" applyBorder="1" applyAlignment="1">
      <alignment vertical="center"/>
    </xf>
    <xf numFmtId="181" fontId="9" fillId="0" borderId="0" xfId="68" applyNumberFormat="1" applyFont="1" applyBorder="1" applyAlignment="1">
      <alignment/>
    </xf>
    <xf numFmtId="181" fontId="9" fillId="0" borderId="0" xfId="54" applyNumberFormat="1" applyFont="1" applyBorder="1">
      <alignment/>
      <protection/>
    </xf>
    <xf numFmtId="0" fontId="9" fillId="0" borderId="0" xfId="54" applyFont="1" applyFill="1" applyBorder="1">
      <alignment/>
      <protection/>
    </xf>
    <xf numFmtId="181" fontId="9" fillId="0" borderId="0" xfId="68" applyNumberFormat="1" applyFont="1" applyFill="1" applyBorder="1" applyAlignment="1">
      <alignment horizontal="right" vertical="center" indent="1"/>
    </xf>
    <xf numFmtId="181" fontId="9" fillId="0" borderId="0" xfId="68" applyNumberFormat="1" applyFont="1" applyFill="1" applyBorder="1" applyAlignment="1">
      <alignment vertical="center"/>
    </xf>
    <xf numFmtId="181" fontId="12" fillId="0" borderId="0" xfId="68" applyNumberFormat="1" applyFont="1" applyFill="1" applyBorder="1" applyAlignment="1">
      <alignment vertical="center"/>
    </xf>
    <xf numFmtId="3" fontId="7" fillId="0" borderId="0" xfId="55" applyNumberFormat="1" applyFont="1" applyFill="1" applyBorder="1" applyAlignment="1">
      <alignment horizontal="center" vertical="center"/>
      <protection/>
    </xf>
    <xf numFmtId="4" fontId="7" fillId="0" borderId="0" xfId="55" applyNumberFormat="1" applyFont="1" applyFill="1" applyBorder="1" applyAlignment="1">
      <alignment horizontal="center" vertical="center"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0" fontId="12" fillId="0" borderId="0" xfId="54" applyFont="1" applyBorder="1" applyAlignment="1">
      <alignment vertical="center" wrapText="1"/>
      <protection/>
    </xf>
    <xf numFmtId="3" fontId="22" fillId="0" borderId="0" xfId="54" applyNumberFormat="1" applyFont="1" applyFill="1" applyBorder="1" applyAlignment="1">
      <alignment horizontal="right" vertical="center" indent="1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3" fontId="68" fillId="0" borderId="0" xfId="0" applyNumberFormat="1" applyFont="1" applyFill="1" applyBorder="1" applyAlignment="1" applyProtection="1">
      <alignment horizontal="right" vertical="center" indent="1"/>
      <protection/>
    </xf>
    <xf numFmtId="179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81" fontId="12" fillId="0" borderId="0" xfId="66" applyNumberFormat="1" applyFont="1" applyFill="1" applyBorder="1" applyAlignment="1">
      <alignment horizontal="right"/>
    </xf>
    <xf numFmtId="3" fontId="68" fillId="0" borderId="0" xfId="0" applyNumberFormat="1" applyFont="1" applyFill="1" applyBorder="1" applyAlignment="1" applyProtection="1">
      <alignment horizontal="center"/>
      <protection/>
    </xf>
    <xf numFmtId="181" fontId="23" fillId="0" borderId="0" xfId="66" applyNumberFormat="1" applyFont="1" applyFill="1" applyBorder="1" applyAlignment="1">
      <alignment horizontal="right" wrapText="1"/>
    </xf>
    <xf numFmtId="0" fontId="8" fillId="37" borderId="10" xfId="0" applyFont="1" applyFill="1" applyBorder="1" applyAlignment="1">
      <alignment horizontal="left" vertical="center"/>
    </xf>
    <xf numFmtId="3" fontId="8" fillId="37" borderId="10" xfId="0" applyNumberFormat="1" applyFont="1" applyFill="1" applyBorder="1" applyAlignment="1">
      <alignment horizontal="center" vertical="center"/>
    </xf>
    <xf numFmtId="179" fontId="8" fillId="37" borderId="10" xfId="0" applyNumberFormat="1" applyFont="1" applyFill="1" applyBorder="1" applyAlignment="1">
      <alignment horizontal="center" vertical="center"/>
    </xf>
    <xf numFmtId="4" fontId="8" fillId="37" borderId="1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 indent="1"/>
    </xf>
    <xf numFmtId="4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181" fontId="12" fillId="0" borderId="0" xfId="66" applyNumberFormat="1" applyFont="1" applyFill="1" applyBorder="1" applyAlignment="1">
      <alignment/>
    </xf>
    <xf numFmtId="181" fontId="9" fillId="36" borderId="10" xfId="68" applyNumberFormat="1" applyFont="1" applyFill="1" applyBorder="1" applyAlignment="1" applyProtection="1">
      <alignment horizontal="center" vertical="center" wrapText="1"/>
      <protection/>
    </xf>
    <xf numFmtId="181" fontId="9" fillId="0" borderId="0" xfId="54" applyNumberFormat="1" applyFont="1" applyFill="1" applyBorder="1">
      <alignment/>
      <protection/>
    </xf>
    <xf numFmtId="0" fontId="7" fillId="0" borderId="10" xfId="0" applyFont="1" applyFill="1" applyBorder="1" applyAlignment="1" applyProtection="1">
      <alignment/>
      <protection/>
    </xf>
    <xf numFmtId="3" fontId="7" fillId="0" borderId="10" xfId="56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/>
      <protection/>
    </xf>
    <xf numFmtId="3" fontId="7" fillId="0" borderId="10" xfId="0" applyNumberFormat="1" applyFont="1" applyFill="1" applyBorder="1" applyAlignment="1" applyProtection="1">
      <alignment/>
      <protection/>
    </xf>
    <xf numFmtId="3" fontId="7" fillId="0" borderId="10" xfId="0" applyNumberFormat="1" applyFont="1" applyFill="1" applyBorder="1" applyAlignment="1" applyProtection="1">
      <alignment horizontal="center"/>
      <protection/>
    </xf>
    <xf numFmtId="183" fontId="8" fillId="37" borderId="11" xfId="0" applyNumberFormat="1" applyFont="1" applyFill="1" applyBorder="1" applyAlignment="1" applyProtection="1">
      <alignment horizontal="center" vertical="center"/>
      <protection/>
    </xf>
    <xf numFmtId="3" fontId="8" fillId="37" borderId="11" xfId="0" applyNumberFormat="1" applyFont="1" applyFill="1" applyBorder="1" applyAlignment="1" applyProtection="1">
      <alignment horizontal="center" vertical="center"/>
      <protection/>
    </xf>
    <xf numFmtId="0" fontId="8" fillId="30" borderId="11" xfId="0" applyFont="1" applyFill="1" applyBorder="1" applyAlignment="1" applyProtection="1">
      <alignment horizontal="center" vertical="center"/>
      <protection/>
    </xf>
    <xf numFmtId="184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/>
    </xf>
    <xf numFmtId="185" fontId="7" fillId="0" borderId="0" xfId="0" applyNumberFormat="1" applyFont="1" applyAlignment="1">
      <alignment/>
    </xf>
    <xf numFmtId="183" fontId="7" fillId="0" borderId="0" xfId="0" applyNumberFormat="1" applyFont="1" applyAlignment="1" applyProtection="1">
      <alignment/>
      <protection/>
    </xf>
    <xf numFmtId="177" fontId="7" fillId="0" borderId="0" xfId="0" applyNumberFormat="1" applyFont="1" applyAlignment="1">
      <alignment/>
    </xf>
    <xf numFmtId="0" fontId="12" fillId="0" borderId="0" xfId="54" applyFont="1" applyFill="1" applyBorder="1" applyAlignment="1">
      <alignment vertical="center" wrapText="1"/>
      <protection/>
    </xf>
    <xf numFmtId="0" fontId="7" fillId="34" borderId="0" xfId="54" applyFont="1" applyFill="1" applyAlignment="1">
      <alignment horizontal="right" vertical="center"/>
      <protection/>
    </xf>
    <xf numFmtId="187" fontId="7" fillId="0" borderId="0" xfId="0" applyNumberFormat="1" applyFont="1" applyAlignment="1" applyProtection="1">
      <alignment/>
      <protection/>
    </xf>
    <xf numFmtId="181" fontId="7" fillId="0" borderId="0" xfId="33" applyNumberFormat="1" applyFont="1" applyFill="1" applyBorder="1" applyAlignment="1">
      <alignment vertical="center"/>
      <protection/>
    </xf>
    <xf numFmtId="2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 applyProtection="1">
      <alignment/>
      <protection/>
    </xf>
    <xf numFmtId="0" fontId="12" fillId="38" borderId="0" xfId="54" applyFont="1" applyFill="1" applyAlignment="1">
      <alignment vertical="center"/>
      <protection/>
    </xf>
    <xf numFmtId="181" fontId="7" fillId="0" borderId="0" xfId="54" applyNumberFormat="1" applyFont="1" applyFill="1" applyBorder="1">
      <alignment/>
      <protection/>
    </xf>
    <xf numFmtId="3" fontId="28" fillId="0" borderId="0" xfId="0" applyNumberFormat="1" applyFont="1" applyAlignment="1" applyProtection="1">
      <alignment/>
      <protection/>
    </xf>
    <xf numFmtId="0" fontId="28" fillId="0" borderId="0" xfId="0" applyFont="1" applyAlignment="1" applyProtection="1">
      <alignment horizontal="center"/>
      <protection/>
    </xf>
    <xf numFmtId="0" fontId="12" fillId="36" borderId="10" xfId="54" applyFont="1" applyFill="1" applyBorder="1" applyAlignment="1">
      <alignment horizontal="center" vertical="center" wrapText="1"/>
      <protection/>
    </xf>
    <xf numFmtId="0" fontId="7" fillId="0" borderId="0" xfId="54" applyFont="1" applyFill="1" applyAlignment="1">
      <alignment vertical="center"/>
      <protection/>
    </xf>
    <xf numFmtId="0" fontId="7" fillId="0" borderId="12" xfId="54" applyNumberFormat="1" applyFont="1" applyFill="1" applyBorder="1" applyAlignment="1" applyProtection="1">
      <alignment vertical="top" wrapText="1"/>
      <protection/>
    </xf>
    <xf numFmtId="0" fontId="29" fillId="0" borderId="0" xfId="54" applyFont="1" applyFill="1" applyBorder="1" applyAlignment="1">
      <alignment horizontal="center" vertical="center" wrapText="1"/>
      <protection/>
    </xf>
    <xf numFmtId="179" fontId="69" fillId="0" borderId="0" xfId="0" applyNumberFormat="1" applyFont="1" applyFill="1" applyBorder="1" applyAlignment="1" applyProtection="1">
      <alignment vertical="center"/>
      <protection/>
    </xf>
    <xf numFmtId="176" fontId="12" fillId="0" borderId="0" xfId="54" applyNumberFormat="1" applyFont="1" applyAlignment="1">
      <alignment vertical="center"/>
      <protection/>
    </xf>
    <xf numFmtId="0" fontId="17" fillId="0" borderId="0" xfId="54" applyFont="1" applyFill="1" applyAlignment="1">
      <alignment horizontal="right" vertical="center"/>
      <protection/>
    </xf>
    <xf numFmtId="178" fontId="7" fillId="0" borderId="10" xfId="66" applyNumberFormat="1" applyFont="1" applyFill="1" applyBorder="1" applyAlignment="1" applyProtection="1">
      <alignment horizontal="center"/>
      <protection/>
    </xf>
    <xf numFmtId="4" fontId="19" fillId="0" borderId="0" xfId="54" applyNumberFormat="1" applyFont="1" applyFill="1" applyBorder="1" applyAlignment="1">
      <alignment horizontal="center" vertical="center"/>
      <protection/>
    </xf>
    <xf numFmtId="2" fontId="19" fillId="0" borderId="0" xfId="54" applyNumberFormat="1" applyFont="1" applyFill="1" applyBorder="1" applyAlignment="1">
      <alignment horizontal="center" vertical="center"/>
      <protection/>
    </xf>
    <xf numFmtId="176" fontId="19" fillId="0" borderId="0" xfId="54" applyNumberFormat="1" applyFont="1" applyFill="1" applyBorder="1" applyAlignment="1">
      <alignment vertical="center"/>
      <protection/>
    </xf>
    <xf numFmtId="0" fontId="7" fillId="0" borderId="13" xfId="0" applyFont="1" applyFill="1" applyBorder="1" applyAlignment="1" applyProtection="1">
      <alignment/>
      <protection/>
    </xf>
    <xf numFmtId="0" fontId="7" fillId="0" borderId="14" xfId="54" applyFont="1" applyFill="1" applyBorder="1" applyAlignment="1">
      <alignment vertical="center"/>
      <protection/>
    </xf>
    <xf numFmtId="0" fontId="7" fillId="0" borderId="13" xfId="33" applyFont="1" applyFill="1" applyBorder="1" applyAlignment="1">
      <alignment vertical="center"/>
      <protection/>
    </xf>
    <xf numFmtId="0" fontId="7" fillId="0" borderId="15" xfId="33" applyFont="1" applyFill="1" applyBorder="1" applyAlignment="1">
      <alignment vertical="center"/>
      <protection/>
    </xf>
    <xf numFmtId="3" fontId="7" fillId="0" borderId="16" xfId="55" applyNumberFormat="1" applyFont="1" applyFill="1" applyBorder="1" applyAlignment="1">
      <alignment horizontal="center" vertical="center"/>
      <protection/>
    </xf>
    <xf numFmtId="4" fontId="7" fillId="0" borderId="16" xfId="55" applyNumberFormat="1" applyFont="1" applyFill="1" applyBorder="1" applyAlignment="1">
      <alignment horizontal="center" vertical="center"/>
      <protection/>
    </xf>
    <xf numFmtId="3" fontId="7" fillId="0" borderId="17" xfId="55" applyNumberFormat="1" applyFont="1" applyFill="1" applyBorder="1" applyAlignment="1">
      <alignment horizontal="center" vertical="center"/>
      <protection/>
    </xf>
    <xf numFmtId="4" fontId="7" fillId="0" borderId="16" xfId="54" applyNumberFormat="1" applyFont="1" applyFill="1" applyBorder="1" applyAlignment="1" applyProtection="1">
      <alignment horizontal="center"/>
      <protection/>
    </xf>
    <xf numFmtId="0" fontId="7" fillId="0" borderId="18" xfId="33" applyFont="1" applyFill="1" applyBorder="1" applyAlignment="1">
      <alignment vertical="center"/>
      <protection/>
    </xf>
    <xf numFmtId="3" fontId="7" fillId="0" borderId="19" xfId="55" applyNumberFormat="1" applyFont="1" applyFill="1" applyBorder="1" applyAlignment="1">
      <alignment horizontal="center" vertical="center"/>
      <protection/>
    </xf>
    <xf numFmtId="4" fontId="7" fillId="0" borderId="19" xfId="54" applyNumberFormat="1" applyFont="1" applyFill="1" applyBorder="1" applyAlignment="1" applyProtection="1">
      <alignment horizontal="center"/>
      <protection/>
    </xf>
    <xf numFmtId="0" fontId="12" fillId="34" borderId="20" xfId="0" applyFont="1" applyFill="1" applyBorder="1" applyAlignment="1" applyProtection="1">
      <alignment/>
      <protection/>
    </xf>
    <xf numFmtId="0" fontId="12" fillId="34" borderId="21" xfId="0" applyFont="1" applyFill="1" applyBorder="1" applyAlignment="1" applyProtection="1">
      <alignment/>
      <protection/>
    </xf>
    <xf numFmtId="0" fontId="12" fillId="34" borderId="22" xfId="0" applyFont="1" applyFill="1" applyBorder="1" applyAlignment="1" applyProtection="1">
      <alignment horizontal="right"/>
      <protection/>
    </xf>
    <xf numFmtId="194" fontId="13" fillId="0" borderId="0" xfId="0" applyNumberFormat="1" applyFont="1" applyFill="1" applyBorder="1" applyAlignment="1" applyProtection="1">
      <alignment horizontal="center" vertical="center"/>
      <protection/>
    </xf>
    <xf numFmtId="176" fontId="12" fillId="39" borderId="1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3" fontId="13" fillId="0" borderId="0" xfId="0" applyNumberFormat="1" applyFont="1" applyFill="1" applyBorder="1" applyAlignment="1" applyProtection="1">
      <alignment horizontal="center" vertical="top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49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  <xf numFmtId="3" fontId="12" fillId="0" borderId="16" xfId="0" applyNumberFormat="1" applyFont="1" applyBorder="1" applyAlignment="1" applyProtection="1">
      <alignment/>
      <protection/>
    </xf>
    <xf numFmtId="3" fontId="12" fillId="0" borderId="16" xfId="56" applyNumberFormat="1" applyFont="1" applyFill="1" applyBorder="1" applyAlignment="1" applyProtection="1">
      <alignment horizontal="center" vertical="center" wrapText="1"/>
      <protection/>
    </xf>
    <xf numFmtId="2" fontId="12" fillId="0" borderId="16" xfId="0" applyNumberFormat="1" applyFont="1" applyBorder="1" applyAlignment="1" applyProtection="1">
      <alignment horizontal="center"/>
      <protection/>
    </xf>
    <xf numFmtId="4" fontId="12" fillId="0" borderId="16" xfId="0" applyNumberFormat="1" applyFont="1" applyFill="1" applyBorder="1" applyAlignment="1" applyProtection="1">
      <alignment horizontal="center"/>
      <protection/>
    </xf>
    <xf numFmtId="180" fontId="12" fillId="0" borderId="16" xfId="0" applyNumberFormat="1" applyFont="1" applyFill="1" applyBorder="1" applyAlignment="1" applyProtection="1">
      <alignment/>
      <protection/>
    </xf>
    <xf numFmtId="3" fontId="12" fillId="0" borderId="0" xfId="0" applyNumberFormat="1" applyFont="1" applyAlignment="1">
      <alignment/>
    </xf>
    <xf numFmtId="3" fontId="12" fillId="0" borderId="0" xfId="0" applyNumberFormat="1" applyFont="1" applyBorder="1" applyAlignment="1" applyProtection="1">
      <alignment/>
      <protection/>
    </xf>
    <xf numFmtId="3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Border="1" applyAlignment="1" applyProtection="1">
      <alignment horizontal="center"/>
      <protection/>
    </xf>
    <xf numFmtId="4" fontId="12" fillId="0" borderId="0" xfId="0" applyNumberFormat="1" applyFont="1" applyFill="1" applyBorder="1" applyAlignment="1" applyProtection="1">
      <alignment horizontal="center"/>
      <protection/>
    </xf>
    <xf numFmtId="3" fontId="12" fillId="0" borderId="0" xfId="0" applyNumberFormat="1" applyFont="1" applyFill="1" applyBorder="1" applyAlignment="1" applyProtection="1">
      <alignment/>
      <protection/>
    </xf>
    <xf numFmtId="3" fontId="12" fillId="0" borderId="14" xfId="0" applyNumberFormat="1" applyFont="1" applyFill="1" applyBorder="1" applyAlignment="1" applyProtection="1">
      <alignment/>
      <protection/>
    </xf>
    <xf numFmtId="0" fontId="12" fillId="0" borderId="15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3" fontId="12" fillId="0" borderId="0" xfId="56" applyNumberFormat="1" applyFont="1" applyFill="1" applyBorder="1" applyAlignment="1" applyProtection="1">
      <alignment horizontal="center" vertical="center" wrapText="1"/>
      <protection/>
    </xf>
    <xf numFmtId="0" fontId="30" fillId="0" borderId="13" xfId="0" applyFont="1" applyBorder="1" applyAlignment="1" applyProtection="1">
      <alignment/>
      <protection/>
    </xf>
    <xf numFmtId="3" fontId="30" fillId="0" borderId="0" xfId="0" applyNumberFormat="1" applyFont="1" applyBorder="1" applyAlignment="1" applyProtection="1">
      <alignment/>
      <protection/>
    </xf>
    <xf numFmtId="3" fontId="30" fillId="0" borderId="0" xfId="56" applyNumberFormat="1" applyFont="1" applyFill="1" applyBorder="1" applyAlignment="1" applyProtection="1">
      <alignment horizontal="center" vertical="center" wrapText="1"/>
      <protection/>
    </xf>
    <xf numFmtId="2" fontId="30" fillId="0" borderId="0" xfId="0" applyNumberFormat="1" applyFont="1" applyBorder="1" applyAlignment="1" applyProtection="1">
      <alignment horizontal="center"/>
      <protection/>
    </xf>
    <xf numFmtId="4" fontId="30" fillId="0" borderId="0" xfId="0" applyNumberFormat="1" applyFont="1" applyFill="1" applyBorder="1" applyAlignment="1" applyProtection="1">
      <alignment horizont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3" fontId="30" fillId="0" borderId="16" xfId="0" applyNumberFormat="1" applyFont="1" applyFill="1" applyBorder="1" applyAlignment="1" applyProtection="1">
      <alignment/>
      <protection/>
    </xf>
    <xf numFmtId="3" fontId="30" fillId="0" borderId="17" xfId="0" applyNumberFormat="1" applyFont="1" applyFill="1" applyBorder="1" applyAlignment="1" applyProtection="1">
      <alignment/>
      <protection/>
    </xf>
    <xf numFmtId="3" fontId="12" fillId="0" borderId="0" xfId="0" applyNumberFormat="1" applyFont="1" applyBorder="1" applyAlignment="1" applyProtection="1">
      <alignment horizontal="right"/>
      <protection/>
    </xf>
    <xf numFmtId="2" fontId="12" fillId="0" borderId="0" xfId="0" applyNumberFormat="1" applyFont="1" applyBorder="1" applyAlignment="1" applyProtection="1">
      <alignment/>
      <protection/>
    </xf>
    <xf numFmtId="179" fontId="12" fillId="0" borderId="0" xfId="0" applyNumberFormat="1" applyFont="1" applyBorder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3" fontId="12" fillId="33" borderId="10" xfId="0" applyNumberFormat="1" applyFont="1" applyFill="1" applyBorder="1" applyAlignment="1" applyProtection="1">
      <alignment horizontal="center" vertical="center"/>
      <protection/>
    </xf>
    <xf numFmtId="182" fontId="12" fillId="33" borderId="10" xfId="0" applyNumberFormat="1" applyFont="1" applyFill="1" applyBorder="1" applyAlignment="1" applyProtection="1">
      <alignment horizontal="center" vertical="center"/>
      <protection/>
    </xf>
    <xf numFmtId="4" fontId="7" fillId="0" borderId="23" xfId="55" applyNumberFormat="1" applyFont="1" applyFill="1" applyBorder="1" applyAlignment="1">
      <alignment horizontal="center" vertical="center"/>
      <protection/>
    </xf>
    <xf numFmtId="179" fontId="70" fillId="0" borderId="13" xfId="0" applyNumberFormat="1" applyFont="1" applyFill="1" applyBorder="1" applyAlignment="1" applyProtection="1">
      <alignment vertical="center"/>
      <protection/>
    </xf>
    <xf numFmtId="179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13" fillId="0" borderId="14" xfId="0" applyFont="1" applyFill="1" applyBorder="1" applyAlignment="1" applyProtection="1">
      <alignment horizontal="left" vertical="top"/>
      <protection/>
    </xf>
    <xf numFmtId="2" fontId="7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/>
    </xf>
    <xf numFmtId="182" fontId="8" fillId="0" borderId="10" xfId="0" applyNumberFormat="1" applyFont="1" applyFill="1" applyBorder="1" applyAlignment="1" applyProtection="1">
      <alignment horizontal="center" vertical="center"/>
      <protection/>
    </xf>
    <xf numFmtId="3" fontId="12" fillId="0" borderId="10" xfId="0" applyNumberFormat="1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 horizontal="center" vertical="center" wrapText="1"/>
    </xf>
    <xf numFmtId="177" fontId="2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 applyProtection="1">
      <alignment horizontal="center" vertical="top" wrapText="1"/>
      <protection/>
    </xf>
    <xf numFmtId="0" fontId="14" fillId="0" borderId="0" xfId="0" applyFont="1" applyFill="1" applyBorder="1" applyAlignment="1" applyProtection="1">
      <alignment horizontal="center" vertical="top" wrapText="1"/>
      <protection/>
    </xf>
    <xf numFmtId="0" fontId="10" fillId="0" borderId="0" xfId="54" applyFont="1" applyFill="1" applyBorder="1" applyAlignment="1">
      <alignment horizontal="center" vertical="center" wrapText="1"/>
      <protection/>
    </xf>
    <xf numFmtId="0" fontId="29" fillId="0" borderId="0" xfId="54" applyFont="1" applyFill="1" applyBorder="1" applyAlignment="1">
      <alignment horizontal="center" vertical="center" wrapText="1"/>
      <protection/>
    </xf>
    <xf numFmtId="179" fontId="7" fillId="33" borderId="24" xfId="0" applyNumberFormat="1" applyFont="1" applyFill="1" applyBorder="1" applyAlignment="1" applyProtection="1">
      <alignment horizontal="center" vertical="center" wrapText="1"/>
      <protection/>
    </xf>
    <xf numFmtId="179" fontId="7" fillId="33" borderId="25" xfId="0" applyNumberFormat="1" applyFont="1" applyFill="1" applyBorder="1" applyAlignment="1" applyProtection="1">
      <alignment horizontal="center" vertical="center" wrapText="1"/>
      <protection/>
    </xf>
    <xf numFmtId="17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 applyProtection="1">
      <alignment horizontal="center" vertical="top"/>
      <protection/>
    </xf>
    <xf numFmtId="0" fontId="13" fillId="0" borderId="0" xfId="0" applyFont="1" applyFill="1" applyBorder="1" applyAlignment="1" applyProtection="1">
      <alignment horizontal="center" vertical="top"/>
      <protection/>
    </xf>
    <xf numFmtId="0" fontId="13" fillId="0" borderId="14" xfId="0" applyFont="1" applyFill="1" applyBorder="1" applyAlignment="1" applyProtection="1">
      <alignment horizontal="center" vertical="top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 wrapText="1"/>
      <protection/>
    </xf>
    <xf numFmtId="0" fontId="17" fillId="36" borderId="24" xfId="54" applyFont="1" applyFill="1" applyBorder="1" applyAlignment="1">
      <alignment horizontal="center" vertical="center" wrapText="1"/>
      <protection/>
    </xf>
    <xf numFmtId="0" fontId="17" fillId="36" borderId="25" xfId="54" applyFont="1" applyFill="1" applyBorder="1" applyAlignment="1">
      <alignment horizontal="center" vertical="center" wrapText="1"/>
      <protection/>
    </xf>
    <xf numFmtId="0" fontId="9" fillId="36" borderId="24" xfId="0" applyNumberFormat="1" applyFont="1" applyFill="1" applyBorder="1" applyAlignment="1" applyProtection="1">
      <alignment horizontal="center" vertical="center" wrapText="1"/>
      <protection/>
    </xf>
    <xf numFmtId="0" fontId="9" fillId="36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54" applyFont="1" applyFill="1" applyBorder="1" applyAlignment="1">
      <alignment horizontal="center" vertical="center" wrapText="1"/>
      <protection/>
    </xf>
    <xf numFmtId="0" fontId="7" fillId="34" borderId="0" xfId="54" applyNumberFormat="1" applyFont="1" applyFill="1" applyBorder="1" applyAlignment="1" applyProtection="1">
      <alignment horizontal="right" vertical="top" wrapText="1"/>
      <protection/>
    </xf>
    <xf numFmtId="181" fontId="9" fillId="36" borderId="24" xfId="68" applyNumberFormat="1" applyFont="1" applyFill="1" applyBorder="1" applyAlignment="1" applyProtection="1">
      <alignment horizontal="center" vertical="center" wrapText="1"/>
      <protection/>
    </xf>
    <xf numFmtId="181" fontId="9" fillId="36" borderId="25" xfId="68" applyNumberFormat="1" applyFont="1" applyFill="1" applyBorder="1" applyAlignment="1" applyProtection="1">
      <alignment horizontal="center" vertical="center" wrapText="1"/>
      <protection/>
    </xf>
    <xf numFmtId="0" fontId="9" fillId="36" borderId="24" xfId="54" applyNumberFormat="1" applyFont="1" applyFill="1" applyBorder="1" applyAlignment="1" applyProtection="1">
      <alignment horizontal="center" vertical="center" wrapText="1"/>
      <protection/>
    </xf>
    <xf numFmtId="0" fontId="9" fillId="36" borderId="25" xfId="54" applyNumberFormat="1" applyFont="1" applyFill="1" applyBorder="1" applyAlignment="1" applyProtection="1">
      <alignment horizontal="center" vertical="center" wrapText="1"/>
      <protection/>
    </xf>
    <xf numFmtId="0" fontId="7" fillId="35" borderId="26" xfId="54" applyNumberFormat="1" applyFont="1" applyFill="1" applyBorder="1" applyAlignment="1" applyProtection="1">
      <alignment horizontal="center" vertical="center" wrapText="1"/>
      <protection/>
    </xf>
    <xf numFmtId="0" fontId="7" fillId="35" borderId="27" xfId="54" applyNumberFormat="1" applyFont="1" applyFill="1" applyBorder="1" applyAlignment="1" applyProtection="1">
      <alignment horizontal="center" vertical="center" wrapText="1"/>
      <protection/>
    </xf>
    <xf numFmtId="0" fontId="7" fillId="35" borderId="11" xfId="54" applyNumberFormat="1" applyFont="1" applyFill="1" applyBorder="1" applyAlignment="1" applyProtection="1">
      <alignment horizontal="center" vertical="center" wrapText="1"/>
      <protection/>
    </xf>
    <xf numFmtId="181" fontId="9" fillId="36" borderId="26" xfId="68" applyNumberFormat="1" applyFont="1" applyFill="1" applyBorder="1" applyAlignment="1" applyProtection="1">
      <alignment horizontal="center" vertical="center" wrapText="1"/>
      <protection/>
    </xf>
    <xf numFmtId="181" fontId="9" fillId="36" borderId="11" xfId="68" applyNumberFormat="1" applyFont="1" applyFill="1" applyBorder="1" applyAlignment="1" applyProtection="1">
      <alignment horizontal="center" vertical="center" wrapText="1"/>
      <protection/>
    </xf>
    <xf numFmtId="0" fontId="12" fillId="36" borderId="10" xfId="54" applyFont="1" applyFill="1" applyBorder="1" applyAlignment="1">
      <alignment horizontal="center" vertical="center" wrapText="1"/>
      <protection/>
    </xf>
    <xf numFmtId="0" fontId="9" fillId="0" borderId="0" xfId="54" applyFont="1" applyFill="1" applyAlignment="1">
      <alignment horizontal="left" vertical="top" wrapText="1"/>
      <protection/>
    </xf>
    <xf numFmtId="0" fontId="20" fillId="0" borderId="0" xfId="54" applyFont="1" applyFill="1" applyBorder="1" applyAlignment="1">
      <alignment horizontal="center" vertical="center"/>
      <protection/>
    </xf>
    <xf numFmtId="0" fontId="12" fillId="26" borderId="0" xfId="54" applyFont="1" applyFill="1" applyBorder="1" applyAlignment="1">
      <alignment horizontal="right" vertical="center"/>
      <protection/>
    </xf>
    <xf numFmtId="0" fontId="12" fillId="0" borderId="0" xfId="54" applyFont="1" applyBorder="1" applyAlignment="1">
      <alignment horizontal="center" vertical="center" wrapText="1"/>
      <protection/>
    </xf>
    <xf numFmtId="0" fontId="12" fillId="36" borderId="24" xfId="54" applyFont="1" applyFill="1" applyBorder="1" applyAlignment="1">
      <alignment horizontal="center" vertical="center" wrapText="1"/>
      <protection/>
    </xf>
    <xf numFmtId="0" fontId="12" fillId="36" borderId="28" xfId="54" applyFont="1" applyFill="1" applyBorder="1" applyAlignment="1">
      <alignment horizontal="center" vertical="center" wrapText="1"/>
      <protection/>
    </xf>
    <xf numFmtId="0" fontId="12" fillId="36" borderId="25" xfId="54" applyFont="1" applyFill="1" applyBorder="1" applyAlignment="1">
      <alignment horizontal="center" vertical="center" wrapText="1"/>
      <protection/>
    </xf>
    <xf numFmtId="0" fontId="8" fillId="34" borderId="0" xfId="54" applyNumberFormat="1" applyFont="1" applyFill="1" applyBorder="1" applyAlignment="1" applyProtection="1">
      <alignment horizontal="center" vertical="center" wrapText="1"/>
      <protection/>
    </xf>
    <xf numFmtId="0" fontId="8" fillId="0" borderId="0" xfId="54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77" fontId="25" fillId="0" borderId="10" xfId="0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28" fillId="0" borderId="0" xfId="54" applyFont="1" applyFill="1" applyAlignment="1">
      <alignment horizontal="center" vertical="center"/>
      <protection/>
    </xf>
    <xf numFmtId="0" fontId="14" fillId="0" borderId="0" xfId="0" applyFont="1" applyFill="1" applyAlignment="1">
      <alignment horizont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Regional Data for IGR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Обычный_Расх_все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Экономическая_классиф" xfId="64"/>
    <cellStyle name="Тысячи_Экономическая_классиф" xfId="65"/>
    <cellStyle name="Comma" xfId="66"/>
    <cellStyle name="Comma [0]" xfId="67"/>
    <cellStyle name="Финансовый 2" xfId="68"/>
    <cellStyle name="Хороший" xfId="69"/>
    <cellStyle name="Элементы осей" xfId="70"/>
  </cellStyles>
  <dxfs count="4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BF8FF"/>
      <rgbColor rgb="00FFFFFF"/>
      <rgbColor rgb="00FF0000"/>
      <rgbColor rgb="0000FF00"/>
      <rgbColor rgb="000000FF"/>
      <rgbColor rgb="00FAFFE1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D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EF8FE"/>
      <rgbColor rgb="00EBFFEB"/>
      <rgbColor rgb="00FFFF99"/>
      <rgbColor rgb="00F1F7FD"/>
      <rgbColor rgb="00CC9CCC"/>
      <rgbColor rgb="00CC99FF"/>
      <rgbColor rgb="00E3E3E3"/>
      <rgbColor rgb="003366FF"/>
      <rgbColor rgb="00E3F6F9"/>
      <rgbColor rgb="00339933"/>
      <rgbColor rgb="00999933"/>
      <rgbColor rgb="00996633"/>
      <rgbColor rgb="00FEC2C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T55"/>
  <sheetViews>
    <sheetView showZeros="0" view="pageBreakPreview" zoomScale="90" zoomScaleNormal="70" zoomScaleSheetLayoutView="90" zoomScalePageLayoutView="0" workbookViewId="0" topLeftCell="A1">
      <pane xSplit="1" ySplit="7" topLeftCell="B2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29" sqref="I29"/>
    </sheetView>
  </sheetViews>
  <sheetFormatPr defaultColWidth="8.875" defaultRowHeight="12.75"/>
  <cols>
    <col min="1" max="1" width="21.375" style="1" customWidth="1"/>
    <col min="2" max="2" width="12.75390625" style="1" customWidth="1"/>
    <col min="3" max="3" width="14.875" style="1" customWidth="1"/>
    <col min="4" max="4" width="10.75390625" style="1" customWidth="1"/>
    <col min="5" max="5" width="16.25390625" style="1" customWidth="1"/>
    <col min="6" max="6" width="20.25390625" style="1" customWidth="1"/>
    <col min="7" max="8" width="17.875" style="1" customWidth="1"/>
    <col min="9" max="9" width="17.75390625" style="1" customWidth="1"/>
    <col min="10" max="10" width="21.125" style="1" customWidth="1"/>
    <col min="11" max="11" width="15.375" style="1" hidden="1" customWidth="1"/>
    <col min="12" max="12" width="30.25390625" style="1" customWidth="1"/>
    <col min="13" max="13" width="14.875" style="1" customWidth="1"/>
    <col min="14" max="14" width="17.375" style="1" bestFit="1" customWidth="1"/>
    <col min="15" max="15" width="13.00390625" style="1" bestFit="1" customWidth="1"/>
    <col min="16" max="16" width="15.75390625" style="1" bestFit="1" customWidth="1"/>
    <col min="17" max="17" width="13.00390625" style="1" bestFit="1" customWidth="1"/>
    <col min="18" max="16384" width="8.875" style="1" customWidth="1"/>
  </cols>
  <sheetData>
    <row r="1" spans="1:12" ht="15.75">
      <c r="A1" s="17"/>
      <c r="B1" s="17"/>
      <c r="C1" s="17"/>
      <c r="D1" s="17"/>
      <c r="E1" s="17"/>
      <c r="F1" s="17"/>
      <c r="G1" s="17"/>
      <c r="H1" s="17"/>
      <c r="I1" s="17"/>
      <c r="J1" s="18" t="s">
        <v>185</v>
      </c>
      <c r="K1" s="115">
        <v>0.8628</v>
      </c>
      <c r="L1" s="9"/>
    </row>
    <row r="2" spans="1:12" ht="18.75">
      <c r="A2" s="213" t="s">
        <v>131</v>
      </c>
      <c r="B2" s="214"/>
      <c r="C2" s="214"/>
      <c r="D2" s="214"/>
      <c r="E2" s="214"/>
      <c r="F2" s="214"/>
      <c r="G2" s="214"/>
      <c r="H2" s="214"/>
      <c r="I2" s="214"/>
      <c r="J2" s="214"/>
      <c r="K2" s="116">
        <v>1853327</v>
      </c>
      <c r="L2" s="9"/>
    </row>
    <row r="3" spans="1:14" ht="18.75" customHeight="1">
      <c r="A3" s="215" t="s">
        <v>155</v>
      </c>
      <c r="B3" s="215"/>
      <c r="C3" s="215"/>
      <c r="D3" s="215"/>
      <c r="E3" s="215"/>
      <c r="F3" s="215"/>
      <c r="G3" s="215"/>
      <c r="H3" s="215"/>
      <c r="I3" s="215"/>
      <c r="J3" s="215"/>
      <c r="K3" s="68">
        <v>0</v>
      </c>
      <c r="L3" s="9"/>
      <c r="N3" s="11"/>
    </row>
    <row r="4" spans="1:15" ht="36" customHeight="1">
      <c r="A4" s="216" t="s">
        <v>139</v>
      </c>
      <c r="B4" s="216"/>
      <c r="C4" s="216"/>
      <c r="D4" s="216"/>
      <c r="E4" s="216"/>
      <c r="F4" s="216"/>
      <c r="G4" s="216"/>
      <c r="H4" s="216"/>
      <c r="I4" s="216"/>
      <c r="J4" s="216"/>
      <c r="K4" s="117">
        <v>27.4708</v>
      </c>
      <c r="L4" s="9"/>
      <c r="M4" s="67"/>
      <c r="N4" s="19"/>
      <c r="O4" s="20"/>
    </row>
    <row r="5" spans="1:15" ht="15.75">
      <c r="A5" s="138">
        <f>IF(K2=F48,"","Необходим пересчёт сумм! Нажмите на кнопку Расчёт!")</f>
      </c>
      <c r="B5" s="137"/>
      <c r="C5" s="137"/>
      <c r="D5" s="137"/>
      <c r="E5" s="137"/>
      <c r="F5" s="137"/>
      <c r="G5" s="137"/>
      <c r="H5" s="137"/>
      <c r="I5" s="137"/>
      <c r="J5" s="137"/>
      <c r="M5" s="67"/>
      <c r="N5" s="19"/>
      <c r="O5" s="20"/>
    </row>
    <row r="6" spans="1:14" ht="157.5" customHeight="1">
      <c r="A6" s="3" t="s">
        <v>44</v>
      </c>
      <c r="B6" s="3" t="s">
        <v>47</v>
      </c>
      <c r="C6" s="3" t="s">
        <v>143</v>
      </c>
      <c r="D6" s="3" t="s">
        <v>48</v>
      </c>
      <c r="E6" s="3" t="str">
        <f>"Расчётная бюджетная обеспеченность (РБО),
[2]/[3]/"&amp;ROUND(E48,3)&amp;"/[4]"</f>
        <v>Расчётная бюджетная обеспеченность (РБО),
[2]/[3]/9,587/[4]</v>
      </c>
      <c r="F6" s="2" t="str">
        <f>"Расчётная сумма дотации на выравнивание БО МР(ГО),
тыс. рублей 
("&amp;K1&amp;"-[5])х"&amp;ROUND(E48,3)&amp;"х[3]х0,8"</f>
        <v>Расчётная сумма дотации на выравнивание БО МР(ГО),
тыс. рублей 
(0,8628-[5])х9,587х[3]х0,8</v>
      </c>
      <c r="G6" s="2" t="s">
        <v>156</v>
      </c>
      <c r="H6" s="2" t="s">
        <v>54</v>
      </c>
      <c r="I6" s="3" t="s">
        <v>55</v>
      </c>
      <c r="J6" s="2" t="str">
        <f>"Итоговый размер дотации на выравнивание БО поселений (внутригородских районов), тыс.рублей
"&amp;K4&amp;"*
([3]-[9])/1000"</f>
        <v>Итоговый размер дотации на выравнивание БО поселений (внутригородских районов), тыс.рублей
27,4708*
([3]-[9])/1000</v>
      </c>
      <c r="K6" s="14"/>
      <c r="N6" s="16"/>
    </row>
    <row r="7" spans="1:12" ht="15.7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46</v>
      </c>
      <c r="G7" s="4" t="s">
        <v>43</v>
      </c>
      <c r="H7" s="4" t="s">
        <v>45</v>
      </c>
      <c r="I7" s="4" t="s">
        <v>51</v>
      </c>
      <c r="J7" s="4" t="s">
        <v>52</v>
      </c>
      <c r="K7" s="14"/>
      <c r="L7" s="14"/>
    </row>
    <row r="8" spans="1:14" ht="15.75">
      <c r="A8" s="9" t="s">
        <v>116</v>
      </c>
      <c r="B8" s="137"/>
      <c r="C8" s="137"/>
      <c r="D8" s="137"/>
      <c r="E8" s="137"/>
      <c r="F8" s="137"/>
      <c r="G8" s="137"/>
      <c r="H8" s="137"/>
      <c r="I8" s="137"/>
      <c r="J8" s="137"/>
      <c r="L8" s="11"/>
      <c r="M8" s="5"/>
      <c r="N8" s="5"/>
    </row>
    <row r="9" spans="1:20" ht="15.75">
      <c r="A9" s="110" t="s">
        <v>0</v>
      </c>
      <c r="B9" s="111">
        <f>'Налог.потенц. 2021'!B8</f>
        <v>14722155.020252645</v>
      </c>
      <c r="C9" s="111">
        <v>1144793</v>
      </c>
      <c r="D9" s="204">
        <f>'Свод индексов'!E10</f>
        <v>0.897417152075801</v>
      </c>
      <c r="E9" s="112">
        <f>B9/C9/D9/$E$48</f>
        <v>1.494821320687346</v>
      </c>
      <c r="F9" s="113">
        <f aca="true" t="shared" si="0" ref="F9:F46">ROUND(IF($K$1&gt;E9,($K$1-E9)*(B$48/C$48)*C9*0.8,0)+K$3,0)</f>
        <v>0</v>
      </c>
      <c r="G9" s="113">
        <v>0</v>
      </c>
      <c r="H9" s="113">
        <f>IF(F9&lt;G9,G9,F9)</f>
        <v>0</v>
      </c>
      <c r="I9" s="114"/>
      <c r="J9" s="113">
        <f>ROUND(K$4*(C9-I9)/1000,0)</f>
        <v>31448</v>
      </c>
      <c r="K9" s="129"/>
      <c r="L9" s="21"/>
      <c r="O9" s="121"/>
      <c r="P9" s="121"/>
      <c r="Q9" s="121"/>
      <c r="R9" s="5"/>
      <c r="S9" s="5"/>
      <c r="T9" s="5"/>
    </row>
    <row r="10" spans="1:18" ht="15.75">
      <c r="A10" s="110" t="s">
        <v>1</v>
      </c>
      <c r="B10" s="111">
        <f>'Налог.потенц. 2021'!B9</f>
        <v>6063645.88641228</v>
      </c>
      <c r="C10" s="111">
        <v>693072</v>
      </c>
      <c r="D10" s="204">
        <f>'Свод индексов'!E11</f>
        <v>0.9818173366051011</v>
      </c>
      <c r="E10" s="112">
        <f aca="true" t="shared" si="1" ref="E10:E45">B10/C10/D10/$E$48</f>
        <v>0.9295312795700532</v>
      </c>
      <c r="F10" s="113">
        <f t="shared" si="0"/>
        <v>0</v>
      </c>
      <c r="G10" s="113">
        <v>0</v>
      </c>
      <c r="H10" s="113">
        <f aca="true" t="shared" si="2" ref="H10:H46">IF(F10&lt;G10,G10,F10)</f>
        <v>0</v>
      </c>
      <c r="I10" s="114"/>
      <c r="J10" s="113"/>
      <c r="K10" s="5"/>
      <c r="L10" s="21"/>
      <c r="O10" s="5"/>
      <c r="P10" s="121"/>
      <c r="Q10" s="121"/>
      <c r="R10" s="5"/>
    </row>
    <row r="11" spans="1:18" ht="15.75">
      <c r="A11" s="110" t="s">
        <v>2</v>
      </c>
      <c r="B11" s="111">
        <f>'Налог.потенц. 2021'!B10</f>
        <v>1316631.810260702</v>
      </c>
      <c r="C11" s="111">
        <v>165896</v>
      </c>
      <c r="D11" s="204">
        <f>'Свод индексов'!E12</f>
        <v>1.0714378374299927</v>
      </c>
      <c r="E11" s="112">
        <f t="shared" si="1"/>
        <v>0.7726817910945097</v>
      </c>
      <c r="F11" s="113">
        <f t="shared" si="0"/>
        <v>114657</v>
      </c>
      <c r="G11" s="113">
        <v>64375</v>
      </c>
      <c r="H11" s="113">
        <f t="shared" si="2"/>
        <v>114657</v>
      </c>
      <c r="I11" s="114"/>
      <c r="J11" s="113"/>
      <c r="K11" s="10"/>
      <c r="L11" s="12"/>
      <c r="M11" s="5"/>
      <c r="O11" s="5"/>
      <c r="P11" s="121"/>
      <c r="Q11" s="121"/>
      <c r="R11" s="5"/>
    </row>
    <row r="12" spans="1:18" ht="15.75">
      <c r="A12" s="110" t="s">
        <v>11</v>
      </c>
      <c r="B12" s="111">
        <f>'Налог.потенц. 2021'!B11</f>
        <v>1007383.6458694441</v>
      </c>
      <c r="C12" s="111">
        <v>101555</v>
      </c>
      <c r="D12" s="204">
        <f>'Свод индексов'!E13</f>
        <v>1.0735675084402765</v>
      </c>
      <c r="E12" s="112">
        <f t="shared" si="1"/>
        <v>0.9638366907280181</v>
      </c>
      <c r="F12" s="113">
        <f t="shared" si="0"/>
        <v>0</v>
      </c>
      <c r="G12" s="113">
        <v>0</v>
      </c>
      <c r="H12" s="113">
        <f t="shared" si="2"/>
        <v>0</v>
      </c>
      <c r="I12" s="114"/>
      <c r="J12" s="113"/>
      <c r="K12" s="10"/>
      <c r="L12" s="12"/>
      <c r="M12" s="5"/>
      <c r="O12" s="5"/>
      <c r="P12" s="121"/>
      <c r="Q12" s="121"/>
      <c r="R12" s="5"/>
    </row>
    <row r="13" spans="1:18" ht="15.75">
      <c r="A13" s="110" t="s">
        <v>3</v>
      </c>
      <c r="B13" s="111">
        <f>'Налог.потенц. 2021'!B12</f>
        <v>327415.47454191616</v>
      </c>
      <c r="C13" s="111">
        <v>70944</v>
      </c>
      <c r="D13" s="204">
        <f>'Свод индексов'!E14</f>
        <v>1.095902913096051</v>
      </c>
      <c r="E13" s="112">
        <f t="shared" si="1"/>
        <v>0.43928935242220096</v>
      </c>
      <c r="F13" s="113">
        <f t="shared" si="0"/>
        <v>230426</v>
      </c>
      <c r="G13" s="113">
        <v>92888</v>
      </c>
      <c r="H13" s="113">
        <f>IF(F13&lt;G13,G13,F13)</f>
        <v>230426</v>
      </c>
      <c r="I13" s="114"/>
      <c r="J13" s="113"/>
      <c r="K13" s="10"/>
      <c r="L13" s="12"/>
      <c r="M13" s="5"/>
      <c r="O13" s="5"/>
      <c r="P13" s="121"/>
      <c r="Q13" s="121"/>
      <c r="R13" s="5"/>
    </row>
    <row r="14" spans="1:18" ht="15.75">
      <c r="A14" s="110" t="s">
        <v>4</v>
      </c>
      <c r="B14" s="111">
        <f>'Налог.потенц. 2021'!B13</f>
        <v>380535.57743731595</v>
      </c>
      <c r="C14" s="111">
        <v>47055</v>
      </c>
      <c r="D14" s="204">
        <f>'Свод индексов'!E15</f>
        <v>1.0994737284328</v>
      </c>
      <c r="E14" s="112">
        <f t="shared" si="1"/>
        <v>0.7672623019729984</v>
      </c>
      <c r="F14" s="113">
        <f t="shared" si="0"/>
        <v>34477</v>
      </c>
      <c r="G14" s="113">
        <v>0</v>
      </c>
      <c r="H14" s="113">
        <f t="shared" si="2"/>
        <v>34477</v>
      </c>
      <c r="I14" s="114"/>
      <c r="J14" s="113"/>
      <c r="K14" s="10"/>
      <c r="L14" s="12"/>
      <c r="M14" s="5"/>
      <c r="O14" s="5"/>
      <c r="P14" s="121"/>
      <c r="Q14" s="121"/>
      <c r="R14" s="5"/>
    </row>
    <row r="15" spans="1:18" ht="15.75">
      <c r="A15" s="110" t="s">
        <v>12</v>
      </c>
      <c r="B15" s="111">
        <f>'Налог.потенц. 2021'!B14</f>
        <v>339634.1604711783</v>
      </c>
      <c r="C15" s="111">
        <v>54760</v>
      </c>
      <c r="D15" s="204">
        <f>'Свод индексов'!E16</f>
        <v>1.0927035668090315</v>
      </c>
      <c r="E15" s="112">
        <f t="shared" si="1"/>
        <v>0.5920860013529641</v>
      </c>
      <c r="F15" s="113">
        <f t="shared" si="0"/>
        <v>113691</v>
      </c>
      <c r="G15" s="113">
        <v>43109</v>
      </c>
      <c r="H15" s="113">
        <f t="shared" si="2"/>
        <v>113691</v>
      </c>
      <c r="I15" s="114"/>
      <c r="J15" s="113"/>
      <c r="K15" s="10"/>
      <c r="L15" s="12"/>
      <c r="M15" s="5"/>
      <c r="O15" s="5"/>
      <c r="P15" s="121"/>
      <c r="Q15" s="121"/>
      <c r="R15" s="5"/>
    </row>
    <row r="16" spans="1:18" ht="15.75">
      <c r="A16" s="110" t="s">
        <v>5</v>
      </c>
      <c r="B16" s="111">
        <f>'Налог.потенц. 2021'!B15</f>
        <v>104059.18578974533</v>
      </c>
      <c r="C16" s="111">
        <v>25771</v>
      </c>
      <c r="D16" s="204">
        <f>'Свод индексов'!E17</f>
        <v>1.090148423573888</v>
      </c>
      <c r="E16" s="112">
        <f t="shared" si="1"/>
        <v>0.3863694232033496</v>
      </c>
      <c r="F16" s="113">
        <f t="shared" si="0"/>
        <v>94163</v>
      </c>
      <c r="G16" s="113">
        <v>51994</v>
      </c>
      <c r="H16" s="113">
        <f t="shared" si="2"/>
        <v>94163</v>
      </c>
      <c r="I16" s="114"/>
      <c r="J16" s="113"/>
      <c r="K16" s="10"/>
      <c r="L16" s="12"/>
      <c r="M16" s="5"/>
      <c r="O16" s="5"/>
      <c r="P16" s="121"/>
      <c r="Q16" s="121"/>
      <c r="R16" s="5"/>
    </row>
    <row r="17" spans="1:18" ht="15.75">
      <c r="A17" s="110" t="s">
        <v>6</v>
      </c>
      <c r="B17" s="111">
        <f>'Налог.потенц. 2021'!B16</f>
        <v>375885.8103187722</v>
      </c>
      <c r="C17" s="111">
        <v>58125</v>
      </c>
      <c r="D17" s="204">
        <f>'Свод индексов'!E18</f>
        <v>1.1097669899812326</v>
      </c>
      <c r="E17" s="112">
        <f t="shared" si="1"/>
        <v>0.6078555566636512</v>
      </c>
      <c r="F17" s="113">
        <f t="shared" si="0"/>
        <v>113647</v>
      </c>
      <c r="G17" s="113">
        <v>30164</v>
      </c>
      <c r="H17" s="113">
        <f t="shared" si="2"/>
        <v>113647</v>
      </c>
      <c r="I17" s="114"/>
      <c r="J17" s="113"/>
      <c r="K17" s="10"/>
      <c r="L17" s="12"/>
      <c r="M17" s="5"/>
      <c r="O17" s="5"/>
      <c r="P17" s="121"/>
      <c r="Q17" s="121"/>
      <c r="R17" s="5"/>
    </row>
    <row r="18" spans="1:18" ht="15.75">
      <c r="A18" s="110" t="s">
        <v>13</v>
      </c>
      <c r="B18" s="111">
        <f>'Налог.потенц. 2021'!B17</f>
        <v>162399.36842552005</v>
      </c>
      <c r="C18" s="111">
        <v>28680</v>
      </c>
      <c r="D18" s="204">
        <f>'Свод индексов'!E19</f>
        <v>1.1108498232420692</v>
      </c>
      <c r="E18" s="112">
        <f t="shared" si="1"/>
        <v>0.5317274326907817</v>
      </c>
      <c r="F18" s="113">
        <f t="shared" si="0"/>
        <v>72820</v>
      </c>
      <c r="G18" s="113">
        <v>24341</v>
      </c>
      <c r="H18" s="113">
        <f t="shared" si="2"/>
        <v>72820</v>
      </c>
      <c r="I18" s="114"/>
      <c r="J18" s="113"/>
      <c r="K18" s="10"/>
      <c r="L18" s="12"/>
      <c r="M18" s="5"/>
      <c r="O18" s="5"/>
      <c r="P18" s="121"/>
      <c r="Q18" s="121"/>
      <c r="R18" s="5"/>
    </row>
    <row r="19" spans="1:18" ht="15.75">
      <c r="A19" s="9" t="s">
        <v>101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"/>
      <c r="L19" s="12"/>
      <c r="O19" s="5"/>
      <c r="P19" s="121"/>
      <c r="Q19" s="121"/>
      <c r="R19" s="5"/>
    </row>
    <row r="20" spans="1:18" ht="15.75">
      <c r="A20" s="110" t="s">
        <v>14</v>
      </c>
      <c r="B20" s="111">
        <f>'Налог.потенц. 2021'!B19</f>
        <v>53980.283833847054</v>
      </c>
      <c r="C20" s="111">
        <v>11374</v>
      </c>
      <c r="D20" s="204">
        <f>'Свод индексов'!E21</f>
        <v>1.1074279748380074</v>
      </c>
      <c r="E20" s="112">
        <f t="shared" si="1"/>
        <v>0.4470392728261047</v>
      </c>
      <c r="F20" s="113">
        <f t="shared" si="0"/>
        <v>36267</v>
      </c>
      <c r="G20" s="113">
        <v>14218</v>
      </c>
      <c r="H20" s="113">
        <f t="shared" si="2"/>
        <v>36267</v>
      </c>
      <c r="I20" s="114"/>
      <c r="J20" s="113">
        <f>ROUND(K$4*(C20-I20)/1000,0)</f>
        <v>312</v>
      </c>
      <c r="K20" s="10"/>
      <c r="L20" s="12"/>
      <c r="O20" s="5"/>
      <c r="P20" s="121"/>
      <c r="Q20" s="121"/>
      <c r="R20" s="5"/>
    </row>
    <row r="21" spans="1:18" ht="15.75">
      <c r="A21" s="110" t="s">
        <v>15</v>
      </c>
      <c r="B21" s="111">
        <f>'Налог.потенц. 2021'!B20</f>
        <v>287363.548069645</v>
      </c>
      <c r="C21" s="111">
        <v>38322</v>
      </c>
      <c r="D21" s="204">
        <f>'Свод индексов'!E22</f>
        <v>1.0927194808848377</v>
      </c>
      <c r="E21" s="112">
        <f t="shared" si="1"/>
        <v>0.7158368530508852</v>
      </c>
      <c r="F21" s="113">
        <f t="shared" si="0"/>
        <v>43192</v>
      </c>
      <c r="G21" s="113">
        <v>21931</v>
      </c>
      <c r="H21" s="113">
        <f t="shared" si="2"/>
        <v>43192</v>
      </c>
      <c r="I21" s="114"/>
      <c r="J21" s="113">
        <f aca="true" t="shared" si="3" ref="J21:J45">ROUND(K$4*(C21-I21)/1000,0)</f>
        <v>1053</v>
      </c>
      <c r="K21" s="10"/>
      <c r="L21" s="12"/>
      <c r="O21" s="5"/>
      <c r="P21" s="121"/>
      <c r="Q21" s="121"/>
      <c r="R21" s="5"/>
    </row>
    <row r="22" spans="1:18" ht="15.75">
      <c r="A22" s="110" t="s">
        <v>16</v>
      </c>
      <c r="B22" s="111">
        <f>'Налог.потенц. 2021'!B21</f>
        <v>96386.56472434248</v>
      </c>
      <c r="C22" s="111">
        <v>14185</v>
      </c>
      <c r="D22" s="204">
        <f>'Свод индексов'!E23</f>
        <v>1.104503421947759</v>
      </c>
      <c r="E22" s="112">
        <f t="shared" si="1"/>
        <v>0.6417403168177206</v>
      </c>
      <c r="F22" s="113">
        <f t="shared" si="0"/>
        <v>24049</v>
      </c>
      <c r="G22" s="113">
        <v>5920</v>
      </c>
      <c r="H22" s="113">
        <f t="shared" si="2"/>
        <v>24049</v>
      </c>
      <c r="I22" s="114"/>
      <c r="J22" s="113">
        <f t="shared" si="3"/>
        <v>390</v>
      </c>
      <c r="K22" s="10"/>
      <c r="L22" s="12"/>
      <c r="O22" s="5"/>
      <c r="P22" s="121"/>
      <c r="Q22" s="121"/>
      <c r="R22" s="5"/>
    </row>
    <row r="23" spans="1:18" ht="15.75">
      <c r="A23" s="110" t="s">
        <v>36</v>
      </c>
      <c r="B23" s="111">
        <f>'Налог.потенц. 2021'!B22</f>
        <v>124418.82237995543</v>
      </c>
      <c r="C23" s="111">
        <v>17880</v>
      </c>
      <c r="D23" s="204">
        <f>'Свод индексов'!E24</f>
        <v>1.0968666747675593</v>
      </c>
      <c r="E23" s="112">
        <f t="shared" si="1"/>
        <v>0.661765250234068</v>
      </c>
      <c r="F23" s="113">
        <f t="shared" si="0"/>
        <v>27567</v>
      </c>
      <c r="G23" s="113">
        <v>8501</v>
      </c>
      <c r="H23" s="113">
        <f t="shared" si="2"/>
        <v>27567</v>
      </c>
      <c r="I23" s="114">
        <v>930</v>
      </c>
      <c r="J23" s="113">
        <f t="shared" si="3"/>
        <v>466</v>
      </c>
      <c r="K23" s="10"/>
      <c r="L23" s="12"/>
      <c r="O23" s="5"/>
      <c r="P23" s="121"/>
      <c r="Q23" s="121"/>
      <c r="R23" s="5"/>
    </row>
    <row r="24" spans="1:18" ht="15.75">
      <c r="A24" s="110" t="s">
        <v>37</v>
      </c>
      <c r="B24" s="111">
        <f>'Налог.потенц. 2021'!B23</f>
        <v>112382.63015973782</v>
      </c>
      <c r="C24" s="111">
        <v>16905</v>
      </c>
      <c r="D24" s="204">
        <f>'Свод индексов'!E25</f>
        <v>1.1413712335315551</v>
      </c>
      <c r="E24" s="112">
        <f t="shared" si="1"/>
        <v>0.6075700011600372</v>
      </c>
      <c r="F24" s="113">
        <f t="shared" si="0"/>
        <v>33090</v>
      </c>
      <c r="G24" s="113">
        <v>9475</v>
      </c>
      <c r="H24" s="113">
        <f t="shared" si="2"/>
        <v>33090</v>
      </c>
      <c r="I24" s="114"/>
      <c r="J24" s="113">
        <f t="shared" si="3"/>
        <v>464</v>
      </c>
      <c r="K24" s="10"/>
      <c r="L24" s="12"/>
      <c r="O24" s="5"/>
      <c r="P24" s="121"/>
      <c r="Q24" s="121"/>
      <c r="R24" s="5"/>
    </row>
    <row r="25" spans="1:18" ht="15.75">
      <c r="A25" s="110" t="s">
        <v>7</v>
      </c>
      <c r="B25" s="111">
        <f>'Налог.потенц. 2021'!B24</f>
        <v>97734.85169438299</v>
      </c>
      <c r="C25" s="111">
        <v>22833</v>
      </c>
      <c r="D25" s="204">
        <f>'Свод индексов'!E26</f>
        <v>1.1020639531756686</v>
      </c>
      <c r="E25" s="112">
        <f t="shared" si="1"/>
        <v>0.405152863106598</v>
      </c>
      <c r="F25" s="113">
        <f t="shared" si="0"/>
        <v>80139</v>
      </c>
      <c r="G25" s="113">
        <v>40575</v>
      </c>
      <c r="H25" s="113">
        <f t="shared" si="2"/>
        <v>80139</v>
      </c>
      <c r="I25" s="114"/>
      <c r="J25" s="113">
        <f t="shared" si="3"/>
        <v>627</v>
      </c>
      <c r="K25" s="10"/>
      <c r="L25" s="12"/>
      <c r="O25" s="5"/>
      <c r="P25" s="121"/>
      <c r="Q25" s="121"/>
      <c r="R25" s="5"/>
    </row>
    <row r="26" spans="1:18" ht="15.75">
      <c r="A26" s="110" t="s">
        <v>8</v>
      </c>
      <c r="B26" s="111">
        <f>'Налог.потенц. 2021'!B25</f>
        <v>1038807.0372091526</v>
      </c>
      <c r="C26" s="111">
        <v>122408</v>
      </c>
      <c r="D26" s="204">
        <f>'Свод индексов'!E27</f>
        <v>1.0856596572171016</v>
      </c>
      <c r="E26" s="112">
        <f t="shared" si="1"/>
        <v>0.815399816123418</v>
      </c>
      <c r="F26" s="113">
        <f t="shared" si="0"/>
        <v>44498</v>
      </c>
      <c r="G26" s="113">
        <v>0</v>
      </c>
      <c r="H26" s="113">
        <f t="shared" si="2"/>
        <v>44498</v>
      </c>
      <c r="I26" s="114">
        <f>3030+3922</f>
        <v>6952</v>
      </c>
      <c r="J26" s="113">
        <f t="shared" si="3"/>
        <v>3172</v>
      </c>
      <c r="K26" s="10"/>
      <c r="L26" s="12"/>
      <c r="O26" s="5"/>
      <c r="P26" s="121"/>
      <c r="Q26" s="121"/>
      <c r="R26" s="5"/>
    </row>
    <row r="27" spans="1:18" ht="15.75">
      <c r="A27" s="110" t="s">
        <v>9</v>
      </c>
      <c r="B27" s="111">
        <f>'Налог.потенц. 2021'!B26</f>
        <v>49012.541176265986</v>
      </c>
      <c r="C27" s="111">
        <v>9259</v>
      </c>
      <c r="D27" s="204">
        <f>'Свод индексов'!E28</f>
        <v>1.093783464593465</v>
      </c>
      <c r="E27" s="112">
        <f t="shared" si="1"/>
        <v>0.5048368063308869</v>
      </c>
      <c r="F27" s="113">
        <f t="shared" si="0"/>
        <v>25419</v>
      </c>
      <c r="G27" s="113">
        <v>11909</v>
      </c>
      <c r="H27" s="113">
        <f t="shared" si="2"/>
        <v>25419</v>
      </c>
      <c r="I27" s="114"/>
      <c r="J27" s="113">
        <f t="shared" si="3"/>
        <v>254</v>
      </c>
      <c r="K27" s="10"/>
      <c r="L27" s="12"/>
      <c r="O27" s="5"/>
      <c r="P27" s="121"/>
      <c r="Q27" s="121"/>
      <c r="R27" s="5"/>
    </row>
    <row r="28" spans="1:18" ht="15.75">
      <c r="A28" s="110" t="s">
        <v>17</v>
      </c>
      <c r="B28" s="111">
        <f>'Налог.потенц. 2021'!B27</f>
        <v>61967.510612267826</v>
      </c>
      <c r="C28" s="111">
        <v>11767</v>
      </c>
      <c r="D28" s="204">
        <f>'Свод индексов'!E29</f>
        <v>1.1141638433476309</v>
      </c>
      <c r="E28" s="112">
        <f t="shared" si="1"/>
        <v>0.4930471625896327</v>
      </c>
      <c r="F28" s="113">
        <f t="shared" si="0"/>
        <v>33368</v>
      </c>
      <c r="G28" s="113">
        <v>8833</v>
      </c>
      <c r="H28" s="113">
        <f t="shared" si="2"/>
        <v>33368</v>
      </c>
      <c r="I28" s="114"/>
      <c r="J28" s="113">
        <f t="shared" si="3"/>
        <v>323</v>
      </c>
      <c r="K28" s="10"/>
      <c r="L28" s="12"/>
      <c r="O28" s="5"/>
      <c r="P28" s="121"/>
      <c r="Q28" s="121"/>
      <c r="R28" s="5"/>
    </row>
    <row r="29" spans="1:18" ht="15.75">
      <c r="A29" s="110" t="s">
        <v>18</v>
      </c>
      <c r="B29" s="111">
        <f>'Налог.потенц. 2021'!B28</f>
        <v>253831.73297592337</v>
      </c>
      <c r="C29" s="111">
        <v>31171</v>
      </c>
      <c r="D29" s="204">
        <f>'Свод индексов'!E30</f>
        <v>1.0782072097993711</v>
      </c>
      <c r="E29" s="112">
        <f t="shared" si="1"/>
        <v>0.7878293866549705</v>
      </c>
      <c r="F29" s="113">
        <f t="shared" si="0"/>
        <v>17922</v>
      </c>
      <c r="G29" s="113">
        <v>892</v>
      </c>
      <c r="H29" s="113">
        <f t="shared" si="2"/>
        <v>17922</v>
      </c>
      <c r="I29" s="114"/>
      <c r="J29" s="113">
        <f t="shared" si="3"/>
        <v>856</v>
      </c>
      <c r="K29" s="10"/>
      <c r="L29" s="12"/>
      <c r="N29" s="9"/>
      <c r="O29" s="5"/>
      <c r="P29" s="121"/>
      <c r="Q29" s="121"/>
      <c r="R29" s="5"/>
    </row>
    <row r="30" spans="1:18" s="9" customFormat="1" ht="15.75">
      <c r="A30" s="110" t="s">
        <v>19</v>
      </c>
      <c r="B30" s="111">
        <f>'Налог.потенц. 2021'!B29</f>
        <v>254269.90690891127</v>
      </c>
      <c r="C30" s="111">
        <v>42232</v>
      </c>
      <c r="D30" s="204">
        <f>'Свод индексов'!E31</f>
        <v>1.1052348083889947</v>
      </c>
      <c r="E30" s="112">
        <f t="shared" si="1"/>
        <v>0.5682480957681327</v>
      </c>
      <c r="F30" s="113">
        <f t="shared" si="0"/>
        <v>95401</v>
      </c>
      <c r="G30" s="113">
        <v>43981</v>
      </c>
      <c r="H30" s="113">
        <f t="shared" si="2"/>
        <v>95401</v>
      </c>
      <c r="I30" s="114"/>
      <c r="J30" s="113">
        <f t="shared" si="3"/>
        <v>1160</v>
      </c>
      <c r="K30" s="10"/>
      <c r="L30" s="12"/>
      <c r="N30" s="1"/>
      <c r="O30" s="5"/>
      <c r="P30" s="121"/>
      <c r="Q30" s="121"/>
      <c r="R30" s="5"/>
    </row>
    <row r="31" spans="1:18" ht="15.75">
      <c r="A31" s="110" t="s">
        <v>20</v>
      </c>
      <c r="B31" s="111">
        <f>'Налог.потенц. 2021'!B30</f>
        <v>69001.09865048286</v>
      </c>
      <c r="C31" s="111">
        <v>13649</v>
      </c>
      <c r="D31" s="204">
        <f>'Свод индексов'!E32</f>
        <v>1.0759482113370236</v>
      </c>
      <c r="E31" s="112">
        <f t="shared" si="1"/>
        <v>0.4901206854591582</v>
      </c>
      <c r="F31" s="113">
        <f t="shared" si="0"/>
        <v>39011</v>
      </c>
      <c r="G31" s="113">
        <v>20177</v>
      </c>
      <c r="H31" s="113">
        <f t="shared" si="2"/>
        <v>39011</v>
      </c>
      <c r="I31" s="114"/>
      <c r="J31" s="113">
        <f t="shared" si="3"/>
        <v>375</v>
      </c>
      <c r="K31" s="10"/>
      <c r="L31" s="12"/>
      <c r="O31" s="5"/>
      <c r="P31" s="121"/>
      <c r="Q31" s="121"/>
      <c r="R31" s="5"/>
    </row>
    <row r="32" spans="1:18" ht="15.75">
      <c r="A32" s="110" t="s">
        <v>21</v>
      </c>
      <c r="B32" s="111">
        <f>'Налог.потенц. 2021'!B31</f>
        <v>141808.82380429457</v>
      </c>
      <c r="C32" s="111">
        <v>21166</v>
      </c>
      <c r="D32" s="204">
        <f>'Свод индексов'!E33</f>
        <v>1.0949976871036564</v>
      </c>
      <c r="E32" s="112">
        <f t="shared" si="1"/>
        <v>0.6382495091015783</v>
      </c>
      <c r="F32" s="113">
        <f t="shared" si="0"/>
        <v>36451</v>
      </c>
      <c r="G32" s="113">
        <v>13984</v>
      </c>
      <c r="H32" s="113">
        <f t="shared" si="2"/>
        <v>36451</v>
      </c>
      <c r="I32" s="114"/>
      <c r="J32" s="113">
        <f t="shared" si="3"/>
        <v>581</v>
      </c>
      <c r="K32" s="10"/>
      <c r="L32" s="12"/>
      <c r="O32" s="5"/>
      <c r="P32" s="121"/>
      <c r="Q32" s="121"/>
      <c r="R32" s="5"/>
    </row>
    <row r="33" spans="1:18" ht="15.75">
      <c r="A33" s="110" t="s">
        <v>22</v>
      </c>
      <c r="B33" s="111">
        <f>'Налог.потенц. 2021'!B32</f>
        <v>110181.74168338602</v>
      </c>
      <c r="C33" s="111">
        <v>16257</v>
      </c>
      <c r="D33" s="204">
        <f>'Свод индексов'!E34</f>
        <v>1.112304077234227</v>
      </c>
      <c r="E33" s="112">
        <f t="shared" si="1"/>
        <v>0.6356015189878982</v>
      </c>
      <c r="F33" s="113">
        <f t="shared" si="0"/>
        <v>28327</v>
      </c>
      <c r="G33" s="113">
        <v>8442</v>
      </c>
      <c r="H33" s="113">
        <f t="shared" si="2"/>
        <v>28327</v>
      </c>
      <c r="I33" s="114"/>
      <c r="J33" s="113">
        <f t="shared" si="3"/>
        <v>447</v>
      </c>
      <c r="K33" s="10"/>
      <c r="L33" s="12"/>
      <c r="O33" s="5"/>
      <c r="P33" s="121"/>
      <c r="Q33" s="121"/>
      <c r="R33" s="5"/>
    </row>
    <row r="34" spans="1:18" ht="15.75">
      <c r="A34" s="110" t="s">
        <v>23</v>
      </c>
      <c r="B34" s="111">
        <f>'Налог.потенц. 2021'!B33</f>
        <v>518296.60624072654</v>
      </c>
      <c r="C34" s="111">
        <v>57338</v>
      </c>
      <c r="D34" s="204">
        <f>'Свод индексов'!E35</f>
        <v>1.098819720572489</v>
      </c>
      <c r="E34" s="112">
        <f t="shared" si="1"/>
        <v>0.8581211535267639</v>
      </c>
      <c r="F34" s="113">
        <f t="shared" si="0"/>
        <v>2057</v>
      </c>
      <c r="G34" s="113">
        <v>0</v>
      </c>
      <c r="H34" s="113">
        <f t="shared" si="2"/>
        <v>2057</v>
      </c>
      <c r="I34" s="114"/>
      <c r="J34" s="113">
        <f t="shared" si="3"/>
        <v>1575</v>
      </c>
      <c r="K34" s="10"/>
      <c r="L34" s="12"/>
      <c r="O34" s="5"/>
      <c r="P34" s="121"/>
      <c r="Q34" s="121"/>
      <c r="R34" s="5"/>
    </row>
    <row r="35" spans="1:18" ht="15.75">
      <c r="A35" s="110" t="s">
        <v>24</v>
      </c>
      <c r="B35" s="111">
        <f>'Налог.потенц. 2021'!B34</f>
        <v>40792.855908560836</v>
      </c>
      <c r="C35" s="111">
        <v>10113</v>
      </c>
      <c r="D35" s="204">
        <f>'Свод индексов'!E36</f>
        <v>1.1027339203832016</v>
      </c>
      <c r="E35" s="112">
        <f t="shared" si="1"/>
        <v>0.38156857356051926</v>
      </c>
      <c r="F35" s="113">
        <f t="shared" si="0"/>
        <v>37324</v>
      </c>
      <c r="G35" s="113">
        <v>20831</v>
      </c>
      <c r="H35" s="113">
        <f t="shared" si="2"/>
        <v>37324</v>
      </c>
      <c r="I35" s="114"/>
      <c r="J35" s="113">
        <f t="shared" si="3"/>
        <v>278</v>
      </c>
      <c r="K35" s="10"/>
      <c r="L35" s="12"/>
      <c r="O35" s="5"/>
      <c r="P35" s="121"/>
      <c r="Q35" s="121"/>
      <c r="R35" s="5"/>
    </row>
    <row r="36" spans="1:18" ht="15.75">
      <c r="A36" s="110" t="s">
        <v>25</v>
      </c>
      <c r="B36" s="111">
        <f>'Налог.потенц. 2021'!B35</f>
        <v>231333.73611797605</v>
      </c>
      <c r="C36" s="111">
        <v>32813</v>
      </c>
      <c r="D36" s="204">
        <f>'Свод индексов'!E37</f>
        <v>1.0846099939210734</v>
      </c>
      <c r="E36" s="112">
        <f t="shared" si="1"/>
        <v>0.6780452216425946</v>
      </c>
      <c r="F36" s="113">
        <f t="shared" si="0"/>
        <v>46494</v>
      </c>
      <c r="G36" s="113">
        <v>19565</v>
      </c>
      <c r="H36" s="113">
        <f t="shared" si="2"/>
        <v>46494</v>
      </c>
      <c r="I36" s="114"/>
      <c r="J36" s="113">
        <f t="shared" si="3"/>
        <v>901</v>
      </c>
      <c r="K36" s="10"/>
      <c r="L36" s="12"/>
      <c r="O36" s="5"/>
      <c r="P36" s="121"/>
      <c r="Q36" s="121"/>
      <c r="R36" s="5"/>
    </row>
    <row r="37" spans="1:18" ht="15.75">
      <c r="A37" s="110" t="s">
        <v>26</v>
      </c>
      <c r="B37" s="111">
        <f>'Налог.потенц. 2021'!B36</f>
        <v>148995.42026907243</v>
      </c>
      <c r="C37" s="111">
        <v>15832</v>
      </c>
      <c r="D37" s="204">
        <f>'Свод индексов'!E38</f>
        <v>1.0885719936162286</v>
      </c>
      <c r="E37" s="112">
        <f t="shared" si="1"/>
        <v>0.9018186444062614</v>
      </c>
      <c r="F37" s="113">
        <f t="shared" si="0"/>
        <v>0</v>
      </c>
      <c r="G37" s="113">
        <v>6374</v>
      </c>
      <c r="H37" s="113">
        <f t="shared" si="2"/>
        <v>6374</v>
      </c>
      <c r="I37" s="114">
        <v>1679</v>
      </c>
      <c r="J37" s="113">
        <f t="shared" si="3"/>
        <v>389</v>
      </c>
      <c r="K37" s="10"/>
      <c r="L37" s="12"/>
      <c r="O37" s="5"/>
      <c r="P37" s="121"/>
      <c r="Q37" s="121"/>
      <c r="R37" s="5"/>
    </row>
    <row r="38" spans="1:18" ht="15.75">
      <c r="A38" s="110" t="s">
        <v>27</v>
      </c>
      <c r="B38" s="111">
        <f>'Налог.потенц. 2021'!B37</f>
        <v>97334.2302562742</v>
      </c>
      <c r="C38" s="111">
        <v>26071</v>
      </c>
      <c r="D38" s="204">
        <f>'Свод индексов'!E39</f>
        <v>1.0902885137014955</v>
      </c>
      <c r="E38" s="112">
        <f t="shared" si="1"/>
        <v>0.35719527098042936</v>
      </c>
      <c r="F38" s="113">
        <f t="shared" si="0"/>
        <v>101093</v>
      </c>
      <c r="G38" s="113">
        <v>53154</v>
      </c>
      <c r="H38" s="113">
        <f t="shared" si="2"/>
        <v>101093</v>
      </c>
      <c r="I38" s="114"/>
      <c r="J38" s="113">
        <f t="shared" si="3"/>
        <v>716</v>
      </c>
      <c r="K38" s="10"/>
      <c r="L38" s="12"/>
      <c r="O38" s="5"/>
      <c r="P38" s="121"/>
      <c r="Q38" s="121"/>
      <c r="R38" s="5"/>
    </row>
    <row r="39" spans="1:18" ht="15.75">
      <c r="A39" s="110" t="s">
        <v>28</v>
      </c>
      <c r="B39" s="111">
        <f>'Налог.потенц. 2021'!B38</f>
        <v>113581.17104970462</v>
      </c>
      <c r="C39" s="111">
        <v>22454</v>
      </c>
      <c r="D39" s="204">
        <f>'Свод индексов'!E40</f>
        <v>1.094994161963129</v>
      </c>
      <c r="E39" s="112">
        <f t="shared" si="1"/>
        <v>0.4818812721739866</v>
      </c>
      <c r="F39" s="113">
        <f t="shared" si="0"/>
        <v>65596</v>
      </c>
      <c r="G39" s="113">
        <v>35271</v>
      </c>
      <c r="H39" s="113">
        <f t="shared" si="2"/>
        <v>65596</v>
      </c>
      <c r="I39" s="114"/>
      <c r="J39" s="113">
        <f t="shared" si="3"/>
        <v>617</v>
      </c>
      <c r="K39" s="10"/>
      <c r="L39" s="12"/>
      <c r="O39" s="5"/>
      <c r="P39" s="121"/>
      <c r="Q39" s="121"/>
      <c r="R39" s="5"/>
    </row>
    <row r="40" spans="1:18" ht="15.75">
      <c r="A40" s="110" t="s">
        <v>29</v>
      </c>
      <c r="B40" s="111">
        <f>'Налог.потенц. 2021'!B39</f>
        <v>360201.6418691008</v>
      </c>
      <c r="C40" s="111">
        <v>44040</v>
      </c>
      <c r="D40" s="204">
        <f>'Свод индексов'!E41</f>
        <v>1.0971947797022648</v>
      </c>
      <c r="E40" s="112">
        <f t="shared" si="1"/>
        <v>0.7775957411994127</v>
      </c>
      <c r="F40" s="113">
        <f t="shared" si="0"/>
        <v>28778</v>
      </c>
      <c r="G40" s="113">
        <v>0</v>
      </c>
      <c r="H40" s="113">
        <f t="shared" si="2"/>
        <v>28778</v>
      </c>
      <c r="I40" s="114"/>
      <c r="J40" s="113">
        <f t="shared" si="3"/>
        <v>1210</v>
      </c>
      <c r="K40" s="10"/>
      <c r="L40" s="12"/>
      <c r="O40" s="5"/>
      <c r="P40" s="121"/>
      <c r="Q40" s="121"/>
      <c r="R40" s="5"/>
    </row>
    <row r="41" spans="1:18" ht="15.75">
      <c r="A41" s="110" t="s">
        <v>30</v>
      </c>
      <c r="B41" s="111">
        <f>'Налог.потенц. 2021'!B40</f>
        <v>706725.518692951</v>
      </c>
      <c r="C41" s="111">
        <v>79059</v>
      </c>
      <c r="D41" s="204">
        <f>'Свод индексов'!E42</f>
        <v>1.0938583398214037</v>
      </c>
      <c r="E41" s="112">
        <f t="shared" si="1"/>
        <v>0.8524670519037078</v>
      </c>
      <c r="F41" s="113">
        <f t="shared" si="0"/>
        <v>6265</v>
      </c>
      <c r="G41" s="113">
        <v>0</v>
      </c>
      <c r="H41" s="113">
        <f t="shared" si="2"/>
        <v>6265</v>
      </c>
      <c r="I41" s="114">
        <f>4935+441</f>
        <v>5376</v>
      </c>
      <c r="J41" s="113">
        <f t="shared" si="3"/>
        <v>2024</v>
      </c>
      <c r="K41" s="10"/>
      <c r="L41" s="12"/>
      <c r="O41" s="5"/>
      <c r="P41" s="121"/>
      <c r="Q41" s="121"/>
      <c r="R41" s="5"/>
    </row>
    <row r="42" spans="1:18" ht="15.75">
      <c r="A42" s="110" t="s">
        <v>31</v>
      </c>
      <c r="B42" s="111">
        <f>'Налог.потенц. 2021'!B41</f>
        <v>149252.4565539364</v>
      </c>
      <c r="C42" s="111">
        <v>23343</v>
      </c>
      <c r="D42" s="204">
        <f>'Свод индексов'!E43</f>
        <v>1.0965290549000881</v>
      </c>
      <c r="E42" s="112">
        <f t="shared" si="1"/>
        <v>0.608252499628181</v>
      </c>
      <c r="F42" s="113">
        <f t="shared" si="0"/>
        <v>45570</v>
      </c>
      <c r="G42" s="113">
        <v>25957</v>
      </c>
      <c r="H42" s="113">
        <f t="shared" si="2"/>
        <v>45570</v>
      </c>
      <c r="I42" s="114"/>
      <c r="J42" s="113">
        <f t="shared" si="3"/>
        <v>641</v>
      </c>
      <c r="K42" s="10"/>
      <c r="L42" s="12"/>
      <c r="O42" s="5"/>
      <c r="P42" s="121"/>
      <c r="Q42" s="121"/>
      <c r="R42" s="5"/>
    </row>
    <row r="43" spans="1:18" ht="15.75">
      <c r="A43" s="110" t="s">
        <v>32</v>
      </c>
      <c r="B43" s="111">
        <f>'Налог.потенц. 2021'!B42</f>
        <v>74961.49855415552</v>
      </c>
      <c r="C43" s="111">
        <v>15890</v>
      </c>
      <c r="D43" s="204">
        <f>'Свод индексов'!E44</f>
        <v>1.0944902496825406</v>
      </c>
      <c r="E43" s="112">
        <f t="shared" si="1"/>
        <v>0.44961593407621725</v>
      </c>
      <c r="F43" s="113">
        <f t="shared" si="0"/>
        <v>50352</v>
      </c>
      <c r="G43" s="113">
        <v>25479</v>
      </c>
      <c r="H43" s="113">
        <f t="shared" si="2"/>
        <v>50352</v>
      </c>
      <c r="I43" s="114"/>
      <c r="J43" s="113">
        <f t="shared" si="3"/>
        <v>437</v>
      </c>
      <c r="K43" s="10"/>
      <c r="L43" s="12"/>
      <c r="O43" s="5"/>
      <c r="P43" s="121"/>
      <c r="Q43" s="121"/>
      <c r="R43" s="5"/>
    </row>
    <row r="44" spans="1:18" ht="15.75">
      <c r="A44" s="110" t="s">
        <v>33</v>
      </c>
      <c r="B44" s="111">
        <f>'Налог.потенц. 2021'!B43</f>
        <v>62407.98163877444</v>
      </c>
      <c r="C44" s="111">
        <v>13891</v>
      </c>
      <c r="D44" s="204">
        <f>'Свод индексов'!E45</f>
        <v>1.0870527875690112</v>
      </c>
      <c r="E44" s="112">
        <f t="shared" si="1"/>
        <v>0.4311170709255957</v>
      </c>
      <c r="F44" s="113">
        <f t="shared" si="0"/>
        <v>45988</v>
      </c>
      <c r="G44" s="113">
        <v>21966</v>
      </c>
      <c r="H44" s="113">
        <f t="shared" si="2"/>
        <v>45988</v>
      </c>
      <c r="I44" s="114"/>
      <c r="J44" s="113">
        <f t="shared" si="3"/>
        <v>382</v>
      </c>
      <c r="K44" s="10"/>
      <c r="L44" s="12"/>
      <c r="O44" s="5"/>
      <c r="P44" s="121"/>
      <c r="Q44" s="121"/>
      <c r="R44" s="5"/>
    </row>
    <row r="45" spans="1:18" ht="15.75">
      <c r="A45" s="110" t="s">
        <v>34</v>
      </c>
      <c r="B45" s="111">
        <f>'Налог.потенц. 2021'!B44</f>
        <v>67074.15405094688</v>
      </c>
      <c r="C45" s="111">
        <v>14633</v>
      </c>
      <c r="D45" s="204">
        <f>'Свод индексов'!E46</f>
        <v>1.0879956363390442</v>
      </c>
      <c r="E45" s="112">
        <f t="shared" si="1"/>
        <v>0.43947472803582305</v>
      </c>
      <c r="F45" s="113">
        <f t="shared" si="0"/>
        <v>47507</v>
      </c>
      <c r="G45" s="113">
        <v>21646</v>
      </c>
      <c r="H45" s="113">
        <f t="shared" si="2"/>
        <v>47507</v>
      </c>
      <c r="I45" s="114"/>
      <c r="J45" s="113">
        <f t="shared" si="3"/>
        <v>402</v>
      </c>
      <c r="K45" s="10"/>
      <c r="L45" s="12"/>
      <c r="O45" s="5"/>
      <c r="P45" s="121"/>
      <c r="Q45" s="121"/>
      <c r="R45" s="5"/>
    </row>
    <row r="46" spans="1:18" ht="15.75">
      <c r="A46" s="110" t="s">
        <v>10</v>
      </c>
      <c r="B46" s="111">
        <f>'Налог.потенц. 2021'!B45</f>
        <v>115591.28475287509</v>
      </c>
      <c r="C46" s="111">
        <v>18628</v>
      </c>
      <c r="D46" s="204">
        <f>'Свод индексов'!E47</f>
        <v>1.0810431009263897</v>
      </c>
      <c r="E46" s="112">
        <f>B46/C46/D46/$E$48</f>
        <v>0.5987631716573814</v>
      </c>
      <c r="F46" s="113">
        <f t="shared" si="0"/>
        <v>37721</v>
      </c>
      <c r="G46" s="113">
        <v>26253</v>
      </c>
      <c r="H46" s="113">
        <f t="shared" si="2"/>
        <v>37721</v>
      </c>
      <c r="I46" s="114">
        <f>1987+687</f>
        <v>2674</v>
      </c>
      <c r="J46" s="113">
        <f>ROUND(K$4*(C46-I46)/1000,0)</f>
        <v>438</v>
      </c>
      <c r="K46" s="10"/>
      <c r="L46" s="12"/>
      <c r="O46" s="5"/>
      <c r="P46" s="121"/>
      <c r="Q46" s="121"/>
      <c r="R46" s="5"/>
    </row>
    <row r="47" spans="1:14" ht="15.75">
      <c r="A47" s="9"/>
      <c r="B47" s="137"/>
      <c r="C47" s="137"/>
      <c r="D47" s="137"/>
      <c r="E47" s="137"/>
      <c r="F47" s="137"/>
      <c r="G47" s="137"/>
      <c r="H47" s="137"/>
      <c r="I47" s="137"/>
      <c r="J47" s="137"/>
      <c r="K47" s="10"/>
      <c r="L47" s="6"/>
      <c r="N47" s="125"/>
    </row>
    <row r="48" spans="1:14" ht="15.75">
      <c r="A48" s="205" t="s">
        <v>35</v>
      </c>
      <c r="B48" s="206">
        <f>SUM(B9:B46)</f>
        <v>30237441.589617163</v>
      </c>
      <c r="C48" s="206">
        <f>SUM(C9:C46)</f>
        <v>3154164</v>
      </c>
      <c r="D48" s="206"/>
      <c r="E48" s="207">
        <f>B48/C48</f>
        <v>9.586515345941796</v>
      </c>
      <c r="F48" s="206">
        <f>SUM(F9:F46)</f>
        <v>1853327</v>
      </c>
      <c r="G48" s="206">
        <f>SUM(G9:G46)</f>
        <v>772205</v>
      </c>
      <c r="H48" s="206">
        <f>SUM(H9:H46)</f>
        <v>1859701</v>
      </c>
      <c r="I48" s="206">
        <f>SUM(I9:I46)</f>
        <v>17611</v>
      </c>
      <c r="J48" s="206">
        <f>SUM(J9:J46)</f>
        <v>51938</v>
      </c>
      <c r="K48" s="13"/>
      <c r="L48" s="15"/>
      <c r="N48" s="125"/>
    </row>
    <row r="49" spans="6:10" ht="15.75">
      <c r="F49" s="5"/>
      <c r="G49" s="5"/>
      <c r="H49" s="5"/>
      <c r="I49" s="11"/>
      <c r="J49" s="5"/>
    </row>
    <row r="50" spans="8:10" ht="15.75">
      <c r="H50" s="132"/>
      <c r="I50" s="133"/>
      <c r="J50" s="5"/>
    </row>
    <row r="51" spans="8:10" ht="15.75">
      <c r="H51" s="5"/>
      <c r="I51" s="11"/>
      <c r="J51" s="5"/>
    </row>
    <row r="52" spans="8:10" ht="15.75">
      <c r="H52" s="5"/>
      <c r="I52" s="11"/>
      <c r="J52" s="5"/>
    </row>
    <row r="53" ht="15.75">
      <c r="I53" s="11"/>
    </row>
    <row r="54" spans="8:9" ht="15.75">
      <c r="H54" s="5"/>
      <c r="I54" s="11"/>
    </row>
    <row r="55" spans="6:8" ht="15.75">
      <c r="F55" s="5"/>
      <c r="G55" s="5"/>
      <c r="H55" s="5"/>
    </row>
  </sheetData>
  <sheetProtection/>
  <mergeCells count="3">
    <mergeCell ref="A2:J2"/>
    <mergeCell ref="A3:J3"/>
    <mergeCell ref="A4:J4"/>
  </mergeCells>
  <conditionalFormatting sqref="H9:H18 H20:H46">
    <cfRule type="expression" priority="2" dxfId="3">
      <formula>$G9=$H9</formula>
    </cfRule>
  </conditionalFormatting>
  <printOptions gridLines="1" horizontalCentered="1"/>
  <pageMargins left="0.1968503937007874" right="0.15748031496062992" top="0.3937007874015748" bottom="0.31496062992125984" header="0.1968503937007874" footer="0.2362204724409449"/>
  <pageSetup fitToHeight="0" fitToWidth="1" horizontalDpi="300" verticalDpi="3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3300"/>
  </sheetPr>
  <dimension ref="A1:K45"/>
  <sheetViews>
    <sheetView tabSelected="1" view="pageBreakPreview" zoomScale="90" zoomScaleSheetLayoutView="90" zoomScalePageLayoutView="0" workbookViewId="0" topLeftCell="A21">
      <selection activeCell="M12" sqref="M12"/>
    </sheetView>
  </sheetViews>
  <sheetFormatPr defaultColWidth="9.00390625" defaultRowHeight="12.75"/>
  <cols>
    <col min="1" max="1" width="23.625" style="0" customWidth="1"/>
    <col min="2" max="2" width="17.375" style="0" customWidth="1"/>
    <col min="3" max="3" width="10.875" style="0" customWidth="1"/>
    <col min="4" max="4" width="19.00390625" style="0" customWidth="1"/>
    <col min="5" max="5" width="14.875" style="0" customWidth="1"/>
    <col min="6" max="6" width="11.125" style="0" customWidth="1"/>
    <col min="7" max="7" width="10.00390625" style="0" customWidth="1"/>
    <col min="8" max="8" width="15.00390625" style="0" customWidth="1"/>
    <col min="9" max="9" width="18.625" style="0" customWidth="1"/>
    <col min="10" max="10" width="16.875" style="0" customWidth="1"/>
    <col min="11" max="11" width="19.75390625" style="0" customWidth="1"/>
  </cols>
  <sheetData>
    <row r="1" spans="1:11" ht="15.75">
      <c r="A1" s="52"/>
      <c r="B1" s="52"/>
      <c r="C1" s="52"/>
      <c r="D1" s="52"/>
      <c r="E1" s="52"/>
      <c r="F1" s="52"/>
      <c r="G1" s="40"/>
      <c r="H1" s="52"/>
      <c r="I1" s="52"/>
      <c r="J1" s="52"/>
      <c r="K1" s="124" t="s">
        <v>194</v>
      </c>
    </row>
    <row r="2" spans="1:11" ht="15.75">
      <c r="A2" s="249" t="s">
        <v>168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8.2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ht="110.25">
      <c r="A4" s="50" t="s">
        <v>49</v>
      </c>
      <c r="B4" s="50" t="s">
        <v>97</v>
      </c>
      <c r="C4" s="51" t="s">
        <v>96</v>
      </c>
      <c r="D4" s="50" t="s">
        <v>95</v>
      </c>
      <c r="E4" s="49" t="s">
        <v>94</v>
      </c>
      <c r="F4" s="49" t="s">
        <v>93</v>
      </c>
      <c r="G4" s="50" t="s">
        <v>113</v>
      </c>
      <c r="H4" s="49" t="s">
        <v>92</v>
      </c>
      <c r="I4" s="49" t="s">
        <v>57</v>
      </c>
      <c r="J4" s="49" t="s">
        <v>114</v>
      </c>
      <c r="K4" s="49" t="s">
        <v>126</v>
      </c>
    </row>
    <row r="5" spans="1:11" ht="15.75">
      <c r="A5" s="48" t="s">
        <v>38</v>
      </c>
      <c r="B5" s="48" t="s">
        <v>141</v>
      </c>
      <c r="C5" s="48" t="s">
        <v>40</v>
      </c>
      <c r="D5" s="48" t="s">
        <v>142</v>
      </c>
      <c r="E5" s="48" t="s">
        <v>42</v>
      </c>
      <c r="F5" s="48" t="s">
        <v>46</v>
      </c>
      <c r="G5" s="48" t="s">
        <v>43</v>
      </c>
      <c r="H5" s="48" t="s">
        <v>45</v>
      </c>
      <c r="I5" s="48" t="s">
        <v>51</v>
      </c>
      <c r="J5" s="48" t="s">
        <v>52</v>
      </c>
      <c r="K5" s="48" t="s">
        <v>53</v>
      </c>
    </row>
    <row r="6" spans="1:11" ht="15.75">
      <c r="A6" s="67" t="s">
        <v>116</v>
      </c>
      <c r="B6" s="82"/>
      <c r="C6" s="82"/>
      <c r="D6" s="82"/>
      <c r="E6" s="82"/>
      <c r="F6" s="82"/>
      <c r="G6" s="82"/>
      <c r="H6" s="82"/>
      <c r="I6" s="82"/>
      <c r="J6" s="47"/>
      <c r="K6" s="47"/>
    </row>
    <row r="7" spans="1:11" ht="15.75">
      <c r="A7" s="148" t="s">
        <v>0</v>
      </c>
      <c r="B7" s="149">
        <f>D7-C7</f>
        <v>15066485.233672677</v>
      </c>
      <c r="C7" s="150"/>
      <c r="D7" s="149">
        <f>SUM(E7:K7)</f>
        <v>15066485.233672677</v>
      </c>
      <c r="E7" s="149">
        <f>'Репрез.ставки'!$J$8*'База налогов'!B9</f>
        <v>10180247.861655965</v>
      </c>
      <c r="F7" s="149">
        <f>'Репрез.ставки'!$J$10*'База налогов'!E9</f>
        <v>0</v>
      </c>
      <c r="G7" s="149">
        <f>'Репрез.ставки'!$J$12*'База налогов'!F9</f>
        <v>2598.0247415270137</v>
      </c>
      <c r="H7" s="149">
        <f>'Репрез.ставки'!$J$13*'База налогов'!G9</f>
        <v>1976941.950705702</v>
      </c>
      <c r="I7" s="149">
        <f>'Репрез.ставки'!$J$15*'База налогов'!H9</f>
        <v>62414.03408863176</v>
      </c>
      <c r="J7" s="149">
        <f>'Репрез.ставки'!$J$16*'База налогов'!I9</f>
        <v>1983997.8963725641</v>
      </c>
      <c r="K7" s="151">
        <f>'База налогов'!J9*'Репрез.ставки'!C17/'Репрез.ставки'!B17*7.5*1*1*1</f>
        <v>860285.4661082868</v>
      </c>
    </row>
    <row r="8" spans="1:11" ht="15.75">
      <c r="A8" s="148" t="s">
        <v>1</v>
      </c>
      <c r="B8" s="149">
        <f aca="true" t="shared" si="0" ref="B8:B16">D8-C8</f>
        <v>6237123.547295902</v>
      </c>
      <c r="C8" s="150"/>
      <c r="D8" s="149">
        <f aca="true" t="shared" si="1" ref="D8:D16">SUM(E8:K8)</f>
        <v>6237123.547295902</v>
      </c>
      <c r="E8" s="149">
        <f>'Репрез.ставки'!$J$8*'База налогов'!B10</f>
        <v>4063853.7654659185</v>
      </c>
      <c r="F8" s="149">
        <f>'Репрез.ставки'!$J$10*'База налогов'!E10</f>
        <v>0</v>
      </c>
      <c r="G8" s="149">
        <f>'Репрез.ставки'!$J$12*'База налогов'!F10</f>
        <v>3618.0957780749923</v>
      </c>
      <c r="H8" s="149">
        <f>'Репрез.ставки'!$J$13*'База налогов'!G10</f>
        <v>821042.7942252534</v>
      </c>
      <c r="I8" s="149">
        <f>'Репрез.ставки'!$J$15*'База налогов'!H10</f>
        <v>34246.76883688026</v>
      </c>
      <c r="J8" s="149">
        <f>'Репрез.ставки'!$J$16*'База налогов'!I10</f>
        <v>999561.7603294413</v>
      </c>
      <c r="K8" s="151">
        <f>'Репрез.ставки'!$J$17*'База налогов'!J10</f>
        <v>314800.3626603334</v>
      </c>
    </row>
    <row r="9" spans="1:11" ht="15.75">
      <c r="A9" s="148" t="s">
        <v>2</v>
      </c>
      <c r="B9" s="149">
        <f t="shared" si="0"/>
        <v>1339056.8941671173</v>
      </c>
      <c r="C9" s="150"/>
      <c r="D9" s="149">
        <f t="shared" si="1"/>
        <v>1339056.8941671173</v>
      </c>
      <c r="E9" s="149">
        <f>'Репрез.ставки'!$J$8*'База налогов'!B11</f>
        <v>923523.7608129306</v>
      </c>
      <c r="F9" s="149">
        <f>'Репрез.ставки'!$J$10*'База налогов'!E11</f>
        <v>0</v>
      </c>
      <c r="G9" s="149">
        <f>'Репрез.ставки'!$J$12*'База налогов'!F11</f>
        <v>599.4829166307431</v>
      </c>
      <c r="H9" s="149">
        <f>'Репрез.ставки'!$J$13*'База налогов'!G11</f>
        <v>229388.7697307638</v>
      </c>
      <c r="I9" s="149">
        <f>'Репрез.ставки'!$J$15*'База налогов'!H11</f>
        <v>6756.839582384963</v>
      </c>
      <c r="J9" s="149">
        <f>'Репрез.ставки'!$J$16*'База налогов'!I11</f>
        <v>129211.19774648892</v>
      </c>
      <c r="K9" s="151">
        <f>'Репрез.ставки'!$J$17*'База налогов'!J11</f>
        <v>49576.843377918216</v>
      </c>
    </row>
    <row r="10" spans="1:11" ht="15.75">
      <c r="A10" s="148" t="s">
        <v>11</v>
      </c>
      <c r="B10" s="149">
        <f t="shared" si="0"/>
        <v>1027362.3254790186</v>
      </c>
      <c r="C10" s="150"/>
      <c r="D10" s="149">
        <f t="shared" si="1"/>
        <v>1027362.3254790186</v>
      </c>
      <c r="E10" s="149">
        <f>'Репрез.ставки'!$J$8*'База налогов'!B12</f>
        <v>700062.3586647336</v>
      </c>
      <c r="F10" s="149">
        <f>'Репрез.ставки'!$J$10*'База налогов'!E12</f>
        <v>0</v>
      </c>
      <c r="G10" s="149">
        <f>'Репрез.ставки'!$J$12*'База налогов'!F12</f>
        <v>344.2248920338492</v>
      </c>
      <c r="H10" s="149">
        <f>'Репрез.ставки'!$J$13*'База налогов'!G12</f>
        <v>176206.33380505184</v>
      </c>
      <c r="I10" s="149">
        <f>'Репрез.ставки'!$J$15*'База налогов'!H12</f>
        <v>4675.270420085439</v>
      </c>
      <c r="J10" s="149">
        <f>'Репрез.ставки'!$J$16*'База налогов'!I12</f>
        <v>115115.24917897662</v>
      </c>
      <c r="K10" s="151">
        <f>'Репрез.ставки'!$J$17*'База налогов'!J12</f>
        <v>30958.888518137286</v>
      </c>
    </row>
    <row r="11" spans="1:11" ht="15.75">
      <c r="A11" s="148" t="s">
        <v>3</v>
      </c>
      <c r="B11" s="149">
        <f t="shared" si="0"/>
        <v>334402.91121692024</v>
      </c>
      <c r="C11" s="150"/>
      <c r="D11" s="149">
        <f t="shared" si="1"/>
        <v>334402.91121692024</v>
      </c>
      <c r="E11" s="149">
        <f>'Репрез.ставки'!$J$8*'База налогов'!B13</f>
        <v>228469.8479441036</v>
      </c>
      <c r="F11" s="149">
        <f>'Репрез.ставки'!$J$10*'База налогов'!E13</f>
        <v>0</v>
      </c>
      <c r="G11" s="149">
        <f>'Репрез.ставки'!$J$12*'База налогов'!F13</f>
        <v>47.31170141786233</v>
      </c>
      <c r="H11" s="149">
        <f>'Репрез.ставки'!$J$13*'База налогов'!G13</f>
        <v>52392.830117958554</v>
      </c>
      <c r="I11" s="149">
        <f>'Репрез.ставки'!$J$15*'База налогов'!H13</f>
        <v>561.6932660173319</v>
      </c>
      <c r="J11" s="149">
        <f>'Репрез.ставки'!$J$16*'База налогов'!I13</f>
        <v>40260.94465121407</v>
      </c>
      <c r="K11" s="151">
        <f>'Репрез.ставки'!$J$17*'База налогов'!J13</f>
        <v>12670.283536208875</v>
      </c>
    </row>
    <row r="12" spans="1:11" ht="15.75">
      <c r="A12" s="148" t="s">
        <v>4</v>
      </c>
      <c r="B12" s="149">
        <f t="shared" si="0"/>
        <v>386290.7143031534</v>
      </c>
      <c r="C12" s="150"/>
      <c r="D12" s="149">
        <f t="shared" si="1"/>
        <v>386290.7143031534</v>
      </c>
      <c r="E12" s="149">
        <f>'Репрез.ставки'!$J$8*'База налогов'!B14</f>
        <v>287841.1396541465</v>
      </c>
      <c r="F12" s="149">
        <f>'Репрез.ставки'!$J$10*'База налогов'!E14</f>
        <v>0</v>
      </c>
      <c r="G12" s="149">
        <f>'Репрез.ставки'!$J$12*'База налогов'!F14</f>
        <v>386.42923624699745</v>
      </c>
      <c r="H12" s="149">
        <f>'Репрез.ставки'!$J$13*'База налогов'!G14</f>
        <v>52479.33704794552</v>
      </c>
      <c r="I12" s="149">
        <f>'Репрез.ставки'!$J$15*'База налогов'!H14</f>
        <v>1205.9884829195655</v>
      </c>
      <c r="J12" s="149">
        <f>'Репрез.ставки'!$J$16*'База налогов'!I14</f>
        <v>33160.550512682334</v>
      </c>
      <c r="K12" s="151">
        <f>'Репрез.ставки'!$J$17*'База налогов'!J14</f>
        <v>11217.269369212445</v>
      </c>
    </row>
    <row r="13" spans="1:11" ht="15.75">
      <c r="A13" s="148" t="s">
        <v>56</v>
      </c>
      <c r="B13" s="149">
        <f t="shared" si="0"/>
        <v>346663.18645245064</v>
      </c>
      <c r="C13" s="150"/>
      <c r="D13" s="149">
        <f t="shared" si="1"/>
        <v>346663.18645245064</v>
      </c>
      <c r="E13" s="149">
        <f>'Репрез.ставки'!$J$8*'База налогов'!B15</f>
        <v>238077.57036210955</v>
      </c>
      <c r="F13" s="149">
        <f>'Репрез.ставки'!$J$10*'База налогов'!E15</f>
        <v>0</v>
      </c>
      <c r="G13" s="149">
        <f>'Репрез.ставки'!$J$12*'База налогов'!F15</f>
        <v>4.613096830064348</v>
      </c>
      <c r="H13" s="149">
        <f>'Репрез.ставки'!$J$13*'База налогов'!G15</f>
        <v>51030.80611390841</v>
      </c>
      <c r="I13" s="149">
        <f>'Репрез.ставки'!$J$15*'База налогов'!H15</f>
        <v>892.1010695569389</v>
      </c>
      <c r="J13" s="149">
        <f>'Репрез.ставки'!$J$16*'База налогов'!I15</f>
        <v>40500.57827304534</v>
      </c>
      <c r="K13" s="151">
        <f>'Репрез.ставки'!$J$17*'База налогов'!J15</f>
        <v>16157.51753700031</v>
      </c>
    </row>
    <row r="14" spans="1:11" ht="15.75">
      <c r="A14" s="148" t="s">
        <v>5</v>
      </c>
      <c r="B14" s="149">
        <f t="shared" si="0"/>
        <v>105636.11365241598</v>
      </c>
      <c r="C14" s="150"/>
      <c r="D14" s="149">
        <f t="shared" si="1"/>
        <v>105636.11365241598</v>
      </c>
      <c r="E14" s="149">
        <f>'Репрез.ставки'!$J$8*'База налогов'!B16</f>
        <v>65276.49056343249</v>
      </c>
      <c r="F14" s="149">
        <f>'Репрез.ставки'!$J$10*'База налогов'!E16</f>
        <v>0</v>
      </c>
      <c r="G14" s="149">
        <f>'Репрез.ставки'!$J$12*'База налогов'!F16</f>
        <v>0</v>
      </c>
      <c r="H14" s="149">
        <f>'Репрез.ставки'!$J$13*'База налогов'!G16</f>
        <v>28055.853910454487</v>
      </c>
      <c r="I14" s="149">
        <f>'Репрез.ставки'!$J$15*'База налогов'!H16</f>
        <v>214.76507230074455</v>
      </c>
      <c r="J14" s="149">
        <f>'Репрез.ставки'!$J$16*'База налогов'!I16</f>
        <v>9086.108161102315</v>
      </c>
      <c r="K14" s="151">
        <f>'Репрез.ставки'!$J$17*'База налогов'!J16</f>
        <v>3002.895945125957</v>
      </c>
    </row>
    <row r="15" spans="1:11" ht="15.75">
      <c r="A15" s="148" t="s">
        <v>6</v>
      </c>
      <c r="B15" s="149">
        <f t="shared" si="0"/>
        <v>386185.87856023543</v>
      </c>
      <c r="C15" s="150"/>
      <c r="D15" s="149">
        <f t="shared" si="1"/>
        <v>386185.87856023543</v>
      </c>
      <c r="E15" s="149">
        <f>'Репрез.ставки'!$J$8*'База налогов'!B17</f>
        <v>229074.9769968533</v>
      </c>
      <c r="F15" s="149">
        <f>'Репрез.ставки'!$J$10*'База налогов'!E17</f>
        <v>0</v>
      </c>
      <c r="G15" s="149">
        <f>'Репрез.ставки'!$J$12*'База налогов'!F17</f>
        <v>547.0638580081667</v>
      </c>
      <c r="H15" s="149">
        <f>'Репрез.ставки'!$J$13*'База налогов'!G17</f>
        <v>77705.31000403907</v>
      </c>
      <c r="I15" s="149">
        <f>'Репрез.ставки'!$J$15*'База налогов'!H17</f>
        <v>1338.1516043354084</v>
      </c>
      <c r="J15" s="149">
        <f>'Репрез.ставки'!$J$16*'База налогов'!I17</f>
        <v>59348.012248430794</v>
      </c>
      <c r="K15" s="151">
        <f>'Репрез.ставки'!$J$17*'База налогов'!J17</f>
        <v>18172.363848568693</v>
      </c>
    </row>
    <row r="16" spans="1:11" ht="15.75">
      <c r="A16" s="148" t="s">
        <v>13</v>
      </c>
      <c r="B16" s="149">
        <f t="shared" si="0"/>
        <v>165622.5396613084</v>
      </c>
      <c r="C16" s="150"/>
      <c r="D16" s="149">
        <f t="shared" si="1"/>
        <v>165622.5396613084</v>
      </c>
      <c r="E16" s="149">
        <f>'Репрез.ставки'!$J$8*'База налогов'!B18</f>
        <v>109930.75746980791</v>
      </c>
      <c r="F16" s="149">
        <f>'Репрез.ставки'!$J$10*'База налогов'!E18</f>
        <v>0</v>
      </c>
      <c r="G16" s="149">
        <f>'Репрез.ставки'!$J$12*'База налогов'!F18</f>
        <v>754.8454277289817</v>
      </c>
      <c r="H16" s="149">
        <f>'Репрез.ставки'!$J$13*'База налогов'!G18</f>
        <v>27631.601838922652</v>
      </c>
      <c r="I16" s="149">
        <f>'Репрез.ставки'!$J$15*'База налогов'!H18</f>
        <v>1255.5496534505066</v>
      </c>
      <c r="J16" s="149">
        <f>'Репрез.ставки'!$J$16*'База налогов'!I18</f>
        <v>18571.60569192341</v>
      </c>
      <c r="K16" s="151">
        <f>'Репрез.ставки'!$J$17*'База налогов'!J18</f>
        <v>7478.179579474963</v>
      </c>
    </row>
    <row r="17" spans="1:11" ht="15.75">
      <c r="A17" s="73" t="s">
        <v>101</v>
      </c>
      <c r="B17" s="82"/>
      <c r="C17" s="83"/>
      <c r="D17" s="82"/>
      <c r="E17" s="82"/>
      <c r="F17" s="82"/>
      <c r="G17" s="82"/>
      <c r="H17" s="82"/>
      <c r="I17" s="82"/>
      <c r="J17" s="82"/>
      <c r="K17" s="82"/>
    </row>
    <row r="18" spans="1:11" ht="15.75">
      <c r="A18" s="148" t="s">
        <v>14</v>
      </c>
      <c r="B18" s="149">
        <f aca="true" t="shared" si="2" ref="B18:B44">D18-C18</f>
        <v>54608.022425333256</v>
      </c>
      <c r="C18" s="150"/>
      <c r="D18" s="149">
        <f>SUM(E18:K18)</f>
        <v>54608.022425333256</v>
      </c>
      <c r="E18" s="149">
        <f>'Репрез.ставки'!$J$9*'База налогов'!B20</f>
        <v>36588.720370166586</v>
      </c>
      <c r="F18" s="149">
        <f>'Репрез.ставки'!$J$11*'База налогов'!E20</f>
        <v>0</v>
      </c>
      <c r="G18" s="149">
        <f>'Репрез.ставки'!$J$12*'База налогов'!F20</f>
        <v>1801.990949243886</v>
      </c>
      <c r="H18" s="149">
        <f>'Репрез.ставки'!$J$14*'База налогов'!G20</f>
        <v>7303.75871006461</v>
      </c>
      <c r="I18" s="149">
        <f>'Репрез.ставки'!$J$15*'База налогов'!H20</f>
        <v>99.1223410618821</v>
      </c>
      <c r="J18" s="149">
        <f>'Репрез.ставки'!$J$16*'База налогов'!I20</f>
        <v>3616.969979515729</v>
      </c>
      <c r="K18" s="151">
        <f>'Репрез.ставки'!$J$18*'База налогов'!J20</f>
        <v>5197.460075280558</v>
      </c>
    </row>
    <row r="19" spans="1:11" ht="15.75">
      <c r="A19" s="148" t="s">
        <v>91</v>
      </c>
      <c r="B19" s="149">
        <f t="shared" si="2"/>
        <v>291909.34588915133</v>
      </c>
      <c r="C19" s="150"/>
      <c r="D19" s="149">
        <f aca="true" t="shared" si="3" ref="D19:D44">SUM(E19:K19)</f>
        <v>291909.34588915133</v>
      </c>
      <c r="E19" s="149">
        <f>'Репрез.ставки'!$J$9*'База налогов'!B21</f>
        <v>194833.6370707976</v>
      </c>
      <c r="F19" s="149">
        <f>'Репрез.ставки'!$J$11*'База налогов'!E21</f>
        <v>0</v>
      </c>
      <c r="G19" s="149">
        <f>'Репрез.ставки'!$J$12*'База налогов'!F21</f>
        <v>2249.296588301911</v>
      </c>
      <c r="H19" s="149">
        <f>'Репрез.ставки'!$J$14*'База налогов'!G21</f>
        <v>51194.15046631173</v>
      </c>
      <c r="I19" s="149">
        <f>'Репрез.ставки'!$J$15*'База налогов'!H21</f>
        <v>1404.2331650433298</v>
      </c>
      <c r="J19" s="149">
        <f>'Репрез.ставки'!$J$16*'База налогов'!I21</f>
        <v>26192.454102869942</v>
      </c>
      <c r="K19" s="151">
        <f>'Репрез.ставки'!$J$18*'База налогов'!J21</f>
        <v>16035.574495826839</v>
      </c>
    </row>
    <row r="20" spans="1:11" ht="15.75">
      <c r="A20" s="148" t="s">
        <v>16</v>
      </c>
      <c r="B20" s="149">
        <f t="shared" si="2"/>
        <v>97669.3348895534</v>
      </c>
      <c r="C20" s="150"/>
      <c r="D20" s="149">
        <f t="shared" si="3"/>
        <v>97669.3348895534</v>
      </c>
      <c r="E20" s="149">
        <f>'Репрез.ставки'!$J$9*'База налогов'!B22</f>
        <v>70672.98228905658</v>
      </c>
      <c r="F20" s="149">
        <f>'Репрез.ставки'!$J$11*'База налогов'!E22</f>
        <v>0</v>
      </c>
      <c r="G20" s="149">
        <f>'Репрез.ставки'!$J$12*'База налогов'!F22</f>
        <v>2949.416408993284</v>
      </c>
      <c r="H20" s="149">
        <f>'Репрез.ставки'!$J$14*'База налогов'!G22</f>
        <v>10802.338425102796</v>
      </c>
      <c r="I20" s="149">
        <f>'Репрез.ставки'!$J$15*'База налогов'!H22</f>
        <v>132.1631214158428</v>
      </c>
      <c r="J20" s="149">
        <f>'Репрез.ставки'!$J$16*'База налогов'!I22</f>
        <v>7391.199523358229</v>
      </c>
      <c r="K20" s="151">
        <f>'Репрез.ставки'!$J$18*'База налогов'!J22</f>
        <v>5721.235121626661</v>
      </c>
    </row>
    <row r="21" spans="1:11" ht="15.75">
      <c r="A21" s="148" t="s">
        <v>90</v>
      </c>
      <c r="B21" s="149">
        <f t="shared" si="2"/>
        <v>126570.87109157551</v>
      </c>
      <c r="C21" s="150"/>
      <c r="D21" s="149">
        <f t="shared" si="3"/>
        <v>126570.87109157551</v>
      </c>
      <c r="E21" s="149">
        <f>'Репрез.ставки'!$J$9*'База налогов'!B23</f>
        <v>67231.68874564515</v>
      </c>
      <c r="F21" s="149">
        <f>'Репрез.ставки'!$J$11*'База налогов'!E23</f>
        <v>0</v>
      </c>
      <c r="G21" s="149">
        <f>'Репрез.ставки'!$J$12*'База налогов'!F23</f>
        <v>27164.934615486185</v>
      </c>
      <c r="H21" s="149">
        <f>'Репрез.ставки'!$J$14*'База налогов'!G23</f>
        <v>12242.826421599253</v>
      </c>
      <c r="I21" s="149">
        <f>'Репрез.ставки'!$J$15*'База налогов'!H23</f>
        <v>247.80585265470523</v>
      </c>
      <c r="J21" s="149">
        <f>'Репрез.ставки'!$J$16*'База налогов'!I23</f>
        <v>12391.055195525245</v>
      </c>
      <c r="K21" s="151">
        <f>'Репрез.ставки'!$J$18*'База налогов'!J23</f>
        <v>7292.560260664969</v>
      </c>
    </row>
    <row r="22" spans="1:11" ht="15.75">
      <c r="A22" s="148" t="s">
        <v>89</v>
      </c>
      <c r="B22" s="149">
        <f t="shared" si="2"/>
        <v>114341.44316277775</v>
      </c>
      <c r="C22" s="150"/>
      <c r="D22" s="149">
        <f t="shared" si="3"/>
        <v>114341.44316277775</v>
      </c>
      <c r="E22" s="149">
        <f>'Репрез.ставки'!$J$9*'База налогов'!B24</f>
        <v>78359.68966628305</v>
      </c>
      <c r="F22" s="149">
        <f>'Репрез.ставки'!$J$11*'База налогов'!E24</f>
        <v>0</v>
      </c>
      <c r="G22" s="149">
        <f>'Репрез.ставки'!$J$12*'База налогов'!F24</f>
        <v>5271.094683271681</v>
      </c>
      <c r="H22" s="149">
        <f>'Репрез.ставки'!$J$14*'База налогов'!G24</f>
        <v>11492.18680507633</v>
      </c>
      <c r="I22" s="149">
        <f>'Репрез.ставки'!$J$15*'База налогов'!H24</f>
        <v>115.64273123886244</v>
      </c>
      <c r="J22" s="149">
        <f>'Репрез.ставки'!$J$16*'База налогов'!I24</f>
        <v>11286.493969896736</v>
      </c>
      <c r="K22" s="151">
        <f>'Репрез.ставки'!$J$18*'База налогов'!J24</f>
        <v>7816.335307011072</v>
      </c>
    </row>
    <row r="23" spans="1:11" ht="15.75">
      <c r="A23" s="148" t="s">
        <v>88</v>
      </c>
      <c r="B23" s="149">
        <f t="shared" si="2"/>
        <v>99352.50241944128</v>
      </c>
      <c r="C23" s="150"/>
      <c r="D23" s="149">
        <f t="shared" si="3"/>
        <v>99352.50241944128</v>
      </c>
      <c r="E23" s="149">
        <f>'Репрез.ставки'!$J$9*'База налогов'!B25</f>
        <v>62588.44344390472</v>
      </c>
      <c r="F23" s="149">
        <f>'Репрез.ставки'!$J$11*'База налогов'!E25</f>
        <v>0</v>
      </c>
      <c r="G23" s="149">
        <f>'Репрез.ставки'!$J$12*'База налогов'!F25</f>
        <v>4867.833135376889</v>
      </c>
      <c r="H23" s="149">
        <f>'Репрез.ставки'!$J$14*'База налогов'!G25</f>
        <v>10360.941185809386</v>
      </c>
      <c r="I23" s="149">
        <f>'Репрез.ставки'!$J$15*'База налогов'!H25</f>
        <v>1255.5496534505066</v>
      </c>
      <c r="J23" s="149">
        <f>'Репрез.ставки'!$J$16*'База налогов'!I25</f>
        <v>9320.749415812099</v>
      </c>
      <c r="K23" s="151">
        <f>'Репрез.ставки'!$J$18*'База налогов'!J25</f>
        <v>10958.985585087688</v>
      </c>
    </row>
    <row r="24" spans="1:11" ht="15.75">
      <c r="A24" s="148" t="s">
        <v>8</v>
      </c>
      <c r="B24" s="149">
        <f>D24-C24</f>
        <v>1065509.158951382</v>
      </c>
      <c r="C24" s="152"/>
      <c r="D24" s="149">
        <f t="shared" si="3"/>
        <v>1065509.158951382</v>
      </c>
      <c r="E24" s="149">
        <f>'Репрез.ставки'!$J$9*'База налогов'!B26</f>
        <v>722736.2125907767</v>
      </c>
      <c r="F24" s="149">
        <f>'Репрез.ставки'!$J$11*'База налогов'!E26</f>
        <v>0</v>
      </c>
      <c r="G24" s="149">
        <f>'Репрез.ставки'!$J$12*'База налогов'!F26</f>
        <v>12514.535391583197</v>
      </c>
      <c r="H24" s="149">
        <f>'Репрез.ставки'!$J$14*'База налогов'!G26</f>
        <v>219895.99911777032</v>
      </c>
      <c r="I24" s="149">
        <f>'Репрез.ставки'!$J$15*'База налогов'!H26</f>
        <v>1536.3962864591724</v>
      </c>
      <c r="J24" s="149">
        <f>'Репрез.ставки'!$J$16*'База налогов'!I26</f>
        <v>48027.819800464036</v>
      </c>
      <c r="K24" s="151">
        <f>'Репрез.ставки'!$J$18*'База налогов'!J26</f>
        <v>60798.19576432839</v>
      </c>
    </row>
    <row r="25" spans="1:11" ht="15.75">
      <c r="A25" s="148" t="s">
        <v>87</v>
      </c>
      <c r="B25" s="149">
        <f t="shared" si="2"/>
        <v>49682.08568499057</v>
      </c>
      <c r="C25" s="152"/>
      <c r="D25" s="149">
        <f t="shared" si="3"/>
        <v>49682.08568499057</v>
      </c>
      <c r="E25" s="149">
        <f>'Репрез.ставки'!$J$9*'База налогов'!B27</f>
        <v>32967.47061733247</v>
      </c>
      <c r="F25" s="149">
        <f>'Репрез.ставки'!$J$11*'База налогов'!E27</f>
        <v>0</v>
      </c>
      <c r="G25" s="149">
        <f>'Репрез.ставки'!$J$12*'База налогов'!F27</f>
        <v>1938.2695180987034</v>
      </c>
      <c r="H25" s="149">
        <f>'Репрез.ставки'!$J$14*'База налогов'!G27</f>
        <v>7363.668914200242</v>
      </c>
      <c r="I25" s="149">
        <f>'Репрез.ставки'!$J$15*'База налогов'!H27</f>
        <v>49.56117053094105</v>
      </c>
      <c r="J25" s="149">
        <f>'Репрез.ставки'!$J$16*'База налогов'!I27</f>
        <v>3857.8516931273703</v>
      </c>
      <c r="K25" s="151">
        <f>'Репрез.ставки'!$J$18*'База налогов'!J27</f>
        <v>3505.2637717008415</v>
      </c>
    </row>
    <row r="26" spans="1:11" ht="15.75">
      <c r="A26" s="148" t="s">
        <v>86</v>
      </c>
      <c r="B26" s="149">
        <f t="shared" si="2"/>
        <v>62502.53970853108</v>
      </c>
      <c r="C26" s="152"/>
      <c r="D26" s="149">
        <f t="shared" si="3"/>
        <v>62502.53970853108</v>
      </c>
      <c r="E26" s="149">
        <f>'Репрез.ставки'!$J$9*'База налогов'!B28</f>
        <v>43721.72345708625</v>
      </c>
      <c r="F26" s="149">
        <f>'Репрез.ставки'!$J$11*'База налогов'!E28</f>
        <v>0</v>
      </c>
      <c r="G26" s="149">
        <f>'Репрез.ставки'!$J$12*'База налогов'!F28</f>
        <v>1856.2772137262502</v>
      </c>
      <c r="H26" s="149">
        <f>'Репрез.ставки'!$J$14*'База налогов'!G28</f>
        <v>9083.4441858584</v>
      </c>
      <c r="I26" s="149">
        <f>'Репрез.ставки'!$J$15*'База налогов'!H28</f>
        <v>165.2039017698035</v>
      </c>
      <c r="J26" s="149">
        <f>'Репрез.ставки'!$J$16*'База налогов'!I28</f>
        <v>3082.7866975168567</v>
      </c>
      <c r="K26" s="151">
        <f>'Репрез.ставки'!$J$18*'База налогов'!J28</f>
        <v>4593.1042525735165</v>
      </c>
    </row>
    <row r="27" spans="1:11" ht="15.75">
      <c r="A27" s="148" t="s">
        <v>85</v>
      </c>
      <c r="B27" s="149">
        <f>D27-C27</f>
        <v>255954.08726142434</v>
      </c>
      <c r="C27" s="152"/>
      <c r="D27" s="149">
        <f t="shared" si="3"/>
        <v>255954.08726142434</v>
      </c>
      <c r="E27" s="149">
        <f>'Репрез.ставки'!$J$9*'База налогов'!B29</f>
        <v>175309.55286801953</v>
      </c>
      <c r="F27" s="149">
        <f>'Репрез.ставки'!$J$11*'База налогов'!E29</f>
        <v>0</v>
      </c>
      <c r="G27" s="149">
        <f>'Репрез.ставки'!$J$12*'База налогов'!F29</f>
        <v>9737.56093552327</v>
      </c>
      <c r="H27" s="149">
        <f>'Репрез.ставки'!$J$14*'База налогов'!G29</f>
        <v>46282.39475960363</v>
      </c>
      <c r="I27" s="149">
        <f>'Репрез.ставки'!$J$15*'База налогов'!H29</f>
        <v>429.5301446014891</v>
      </c>
      <c r="J27" s="149">
        <f>'Репрез.ставки'!$J$16*'База налогов'!I29</f>
        <v>12228.803264076989</v>
      </c>
      <c r="K27" s="151">
        <f>'Репрез.ставки'!$J$18*'База налогов'!J29</f>
        <v>11966.245289599425</v>
      </c>
    </row>
    <row r="28" spans="1:11" ht="15.75">
      <c r="A28" s="148" t="s">
        <v>84</v>
      </c>
      <c r="B28" s="149">
        <f t="shared" si="2"/>
        <v>258599.96020215115</v>
      </c>
      <c r="C28" s="152"/>
      <c r="D28" s="149">
        <f t="shared" si="3"/>
        <v>258599.96020215115</v>
      </c>
      <c r="E28" s="149">
        <f>'Репрез.ставки'!$J$9*'База налогов'!B30</f>
        <v>177181.6781553245</v>
      </c>
      <c r="F28" s="149">
        <f>'Репрез.ставки'!$J$11*'База налогов'!E30</f>
        <v>0</v>
      </c>
      <c r="G28" s="149">
        <f>'Репрез.ставки'!$J$12*'База налогов'!F30</f>
        <v>7232.182555333381</v>
      </c>
      <c r="H28" s="149">
        <f>'Репрез.ставки'!$J$14*'База налогов'!G30</f>
        <v>30627.3297995146</v>
      </c>
      <c r="I28" s="149">
        <f>'Репрез.ставки'!$J$15*'База налогов'!H30</f>
        <v>1123.3865320346638</v>
      </c>
      <c r="J28" s="149">
        <f>'Репрез.ставки'!$J$16*'База налогов'!I30</f>
        <v>24949.354689620228</v>
      </c>
      <c r="K28" s="151">
        <f>'Репрез.ставки'!$J$18*'База налогов'!J30</f>
        <v>17486.028470323738</v>
      </c>
    </row>
    <row r="29" spans="1:11" ht="15.75">
      <c r="A29" s="148" t="s">
        <v>83</v>
      </c>
      <c r="B29" s="149">
        <f t="shared" si="2"/>
        <v>69835.48410748936</v>
      </c>
      <c r="C29" s="152"/>
      <c r="D29" s="149">
        <f t="shared" si="3"/>
        <v>69835.48410748936</v>
      </c>
      <c r="E29" s="149">
        <f>'Репрез.ставки'!$J$9*'База налогов'!B31</f>
        <v>52471.05430440385</v>
      </c>
      <c r="F29" s="149">
        <f>'Репрез.ставки'!$J$11*'База налогов'!E31</f>
        <v>0</v>
      </c>
      <c r="G29" s="149">
        <f>'Репрез.ставки'!$J$12*'База налогов'!F31</f>
        <v>2283.9222734370965</v>
      </c>
      <c r="H29" s="149">
        <f>'Репрез.ставки'!$J$14*'База налогов'!G31</f>
        <v>6931.963031458185</v>
      </c>
      <c r="I29" s="149">
        <f>'Репрез.ставки'!$J$15*'База налогов'!H31</f>
        <v>198.2446821237642</v>
      </c>
      <c r="J29" s="149">
        <f>'Репрез.ставки'!$J$16*'База налогов'!I31</f>
        <v>4807.649537989851</v>
      </c>
      <c r="K29" s="151">
        <f>'Репрез.ставки'!$J$18*'База налогов'!J31</f>
        <v>3142.6502780766164</v>
      </c>
    </row>
    <row r="30" spans="1:11" ht="15.75">
      <c r="A30" s="148" t="s">
        <v>82</v>
      </c>
      <c r="B30" s="149">
        <f t="shared" si="2"/>
        <v>142710.14205107652</v>
      </c>
      <c r="C30" s="152"/>
      <c r="D30" s="149">
        <f t="shared" si="3"/>
        <v>142710.14205107652</v>
      </c>
      <c r="E30" s="149">
        <f>'Репрез.ставки'!$J$9*'База налогов'!B32</f>
        <v>107941.39080675715</v>
      </c>
      <c r="F30" s="149">
        <f>'Репрез.ставки'!$J$11*'База налогов'!E32</f>
        <v>0</v>
      </c>
      <c r="G30" s="149">
        <f>'Репрез.ставки'!$J$12*'База налогов'!F32</f>
        <v>7036.482905881782</v>
      </c>
      <c r="H30" s="149">
        <f>'Репрез.ставки'!$J$14*'База налогов'!G32</f>
        <v>15685.901094570605</v>
      </c>
      <c r="I30" s="149">
        <f>'Репрез.ставки'!$J$15*'База налогов'!H32</f>
        <v>809.4991186720371</v>
      </c>
      <c r="J30" s="149">
        <f>'Репрез.ставки'!$J$16*'База налогов'!I32</f>
        <v>5193.309898124551</v>
      </c>
      <c r="K30" s="151">
        <f>'Репрез.ставки'!$J$18*'База налогов'!J32</f>
        <v>6043.558227070416</v>
      </c>
    </row>
    <row r="31" spans="1:11" ht="15.75">
      <c r="A31" s="148" t="s">
        <v>81</v>
      </c>
      <c r="B31" s="149">
        <f t="shared" si="2"/>
        <v>111428.3378165824</v>
      </c>
      <c r="C31" s="152"/>
      <c r="D31" s="149">
        <f t="shared" si="3"/>
        <v>111428.3378165824</v>
      </c>
      <c r="E31" s="149">
        <f>'Репрез.ставки'!$J$9*'База налогов'!B33</f>
        <v>81890.24925192737</v>
      </c>
      <c r="F31" s="149">
        <f>'Репрез.ставки'!$J$11*'База налогов'!E33</f>
        <v>0</v>
      </c>
      <c r="G31" s="149">
        <f>'Репрез.ставки'!$J$12*'База налогов'!F33</f>
        <v>5799.870907417807</v>
      </c>
      <c r="H31" s="149">
        <f>'Репрез.ставки'!$J$14*'База налогов'!G33</f>
        <v>10269.31381477842</v>
      </c>
      <c r="I31" s="149">
        <f>'Репрез.ставки'!$J$15*'База налогов'!H33</f>
        <v>363.4485838935677</v>
      </c>
      <c r="J31" s="149">
        <f>'Репрез.ставки'!$J$16*'База налогов'!I33</f>
        <v>7182.768196036239</v>
      </c>
      <c r="K31" s="151">
        <f>'Репрез.ставки'!$J$18*'База налогов'!J33</f>
        <v>5922.687062529008</v>
      </c>
    </row>
    <row r="32" spans="1:11" ht="15.75">
      <c r="A32" s="148" t="s">
        <v>80</v>
      </c>
      <c r="B32" s="149">
        <f t="shared" si="2"/>
        <v>527076.9319156379</v>
      </c>
      <c r="C32" s="152"/>
      <c r="D32" s="149">
        <f t="shared" si="3"/>
        <v>527076.9319156379</v>
      </c>
      <c r="E32" s="149">
        <f>'Репрез.ставки'!$J$9*'База налогов'!B34</f>
        <v>315968.6129462564</v>
      </c>
      <c r="F32" s="149">
        <f>'Репрез.ставки'!$J$11*'База налогов'!E34</f>
        <v>0</v>
      </c>
      <c r="G32" s="149">
        <f>'Репрез.ставки'!$J$12*'База налогов'!F34</f>
        <v>2568.8359205129755</v>
      </c>
      <c r="H32" s="149">
        <f>'Репрез.ставки'!$J$14*'База налогов'!G34</f>
        <v>113310.45976599753</v>
      </c>
      <c r="I32" s="149">
        <f>'Репрез.ставки'!$J$15*'База налогов'!H34</f>
        <v>3783.1693505285</v>
      </c>
      <c r="J32" s="149">
        <f>'Репрез.ставки'!$J$16*'База налогов'!I34</f>
        <v>50591.40031734647</v>
      </c>
      <c r="K32" s="151">
        <f>'Репрез.ставки'!$J$18*'База налогов'!J34</f>
        <v>40854.45361499601</v>
      </c>
    </row>
    <row r="33" spans="1:11" ht="14.25" customHeight="1">
      <c r="A33" s="148" t="s">
        <v>79</v>
      </c>
      <c r="B33" s="149">
        <f t="shared" si="2"/>
        <v>41298.859134824386</v>
      </c>
      <c r="C33" s="152"/>
      <c r="D33" s="149">
        <f t="shared" si="3"/>
        <v>41298.859134824386</v>
      </c>
      <c r="E33" s="149">
        <f>'Репрез.ставки'!$J$9*'База налогов'!B35</f>
        <v>28968.08811113373</v>
      </c>
      <c r="F33" s="149">
        <f>'Репрез.ставки'!$J$11*'База налогов'!E35</f>
        <v>0</v>
      </c>
      <c r="G33" s="149">
        <f>'Репрез.ставки'!$J$12*'База налогов'!F35</f>
        <v>134.65849318235453</v>
      </c>
      <c r="H33" s="149">
        <f>'Репрез.ставки'!$J$14*'База налогов'!G35</f>
        <v>6031.547904596178</v>
      </c>
      <c r="I33" s="149">
        <f>'Репрез.ставки'!$J$15*'База налогов'!H35</f>
        <v>66.0815607079214</v>
      </c>
      <c r="J33" s="149">
        <f>'Репрез.ставки'!$J$16*'База налогов'!I35</f>
        <v>2915.5423989471165</v>
      </c>
      <c r="K33" s="151">
        <f>'Репрез.ставки'!$J$18*'База налогов'!J35</f>
        <v>3182.940666257086</v>
      </c>
    </row>
    <row r="34" spans="1:11" ht="15.75">
      <c r="A34" s="148" t="s">
        <v>78</v>
      </c>
      <c r="B34" s="149">
        <f t="shared" si="2"/>
        <v>235030.8521564462</v>
      </c>
      <c r="C34" s="152"/>
      <c r="D34" s="149">
        <f t="shared" si="3"/>
        <v>235030.8521564462</v>
      </c>
      <c r="E34" s="149">
        <f>'Репрез.ставки'!$J$9*'База налогов'!B36</f>
        <v>174387.95062471004</v>
      </c>
      <c r="F34" s="149">
        <f>'Репрез.ставки'!$J$11*'База налогов'!E36</f>
        <v>0</v>
      </c>
      <c r="G34" s="149">
        <f>'Репрез.ставки'!$J$12*'База налогов'!F36</f>
        <v>7998.72547859574</v>
      </c>
      <c r="H34" s="149">
        <f>'Репрез.ставки'!$J$14*'База налогов'!G36</f>
        <v>20614.39641714014</v>
      </c>
      <c r="I34" s="149">
        <f>'Репрез.ставки'!$J$15*'База налогов'!H36</f>
        <v>413.00975442450874</v>
      </c>
      <c r="J34" s="149">
        <f>'Репрез.ставки'!$J$16*'База налогов'!I36</f>
        <v>21302.430507375593</v>
      </c>
      <c r="K34" s="151">
        <f>'Репрез.ставки'!$J$18*'База налогов'!J36</f>
        <v>10314.339374200177</v>
      </c>
    </row>
    <row r="35" spans="1:11" ht="15.75">
      <c r="A35" s="148" t="s">
        <v>77</v>
      </c>
      <c r="B35" s="149">
        <f t="shared" si="2"/>
        <v>151130.60113308983</v>
      </c>
      <c r="C35" s="152"/>
      <c r="D35" s="149">
        <f t="shared" si="3"/>
        <v>151130.60113308983</v>
      </c>
      <c r="E35" s="149">
        <f>'Репрез.ставки'!$J$9*'База налогов'!B37</f>
        <v>113434.8431106817</v>
      </c>
      <c r="F35" s="149">
        <f>'Репрез.ставки'!$J$11*'База налогов'!E37</f>
        <v>0</v>
      </c>
      <c r="G35" s="149">
        <f>'Репрез.ставки'!$J$12*'База налогов'!F37</f>
        <v>10185.168622588026</v>
      </c>
      <c r="H35" s="149">
        <f>'Репрез.ставки'!$J$14*'База налогов'!G37</f>
        <v>13213.724141562005</v>
      </c>
      <c r="I35" s="149">
        <f>'Репрез.ставки'!$J$15*'База налогов'!H37</f>
        <v>99.1223410618821</v>
      </c>
      <c r="J35" s="149">
        <f>'Репрез.ставки'!$J$16*'База налогов'!I37</f>
        <v>7106.634597433596</v>
      </c>
      <c r="K35" s="151">
        <f>'Репрез.ставки'!$J$18*'База налогов'!J37</f>
        <v>7091.108319762622</v>
      </c>
    </row>
    <row r="36" spans="1:11" ht="15.75">
      <c r="A36" s="148" t="s">
        <v>76</v>
      </c>
      <c r="B36" s="149">
        <f t="shared" si="2"/>
        <v>98297.4992405182</v>
      </c>
      <c r="C36" s="152"/>
      <c r="D36" s="149">
        <f t="shared" si="3"/>
        <v>98297.4992405182</v>
      </c>
      <c r="E36" s="149">
        <f>'Репрез.ставки'!$J$9*'База налогов'!B38</f>
        <v>64877.864045044174</v>
      </c>
      <c r="F36" s="149">
        <f>'Репрез.ставки'!$J$11*'База налогов'!E38</f>
        <v>0</v>
      </c>
      <c r="G36" s="149">
        <f>'Репрез.ставки'!$J$12*'База налогов'!F38</f>
        <v>3491.784793442278</v>
      </c>
      <c r="H36" s="149">
        <f>'Репрез.ставки'!$J$14*'База налогов'!G38</f>
        <v>16358.128826268952</v>
      </c>
      <c r="I36" s="149">
        <f>'Репрез.ставки'!$J$15*'База налогов'!H38</f>
        <v>726.8971677871353</v>
      </c>
      <c r="J36" s="149">
        <f>'Репрез.ставки'!$J$16*'База налогов'!I38</f>
        <v>5550.264147310713</v>
      </c>
      <c r="K36" s="151">
        <f>'Репрез.ставки'!$J$18*'База налогов'!J38</f>
        <v>7292.560260664969</v>
      </c>
    </row>
    <row r="37" spans="1:11" ht="15.75">
      <c r="A37" s="148" t="s">
        <v>75</v>
      </c>
      <c r="B37" s="149">
        <f t="shared" si="2"/>
        <v>115570.95942147558</v>
      </c>
      <c r="C37" s="152"/>
      <c r="D37" s="149">
        <f t="shared" si="3"/>
        <v>115570.95942147558</v>
      </c>
      <c r="E37" s="149">
        <f>'Репрез.ставки'!$J$9*'База налогов'!B39</f>
        <v>76659.68266973554</v>
      </c>
      <c r="F37" s="149">
        <f>'Репрез.ставки'!$J$11*'База налогов'!E39</f>
        <v>0</v>
      </c>
      <c r="G37" s="149">
        <f>'Репрез.ставки'!$J$12*'База налогов'!F39</f>
        <v>6274.113736894244</v>
      </c>
      <c r="H37" s="149">
        <f>'Репрез.ставки'!$J$14*'База налогов'!G39</f>
        <v>14429.54887254984</v>
      </c>
      <c r="I37" s="149">
        <f>'Репрез.ставки'!$J$15*'База налогов'!H39</f>
        <v>578.2136561943122</v>
      </c>
      <c r="J37" s="149">
        <f>'Репрез.ставки'!$J$16*'База налогов'!I39</f>
        <v>11464.971094489816</v>
      </c>
      <c r="K37" s="151">
        <f>'Репрез.ставки'!$J$18*'База налогов'!J39</f>
        <v>6164.429391611825</v>
      </c>
    </row>
    <row r="38" spans="1:11" ht="15.75">
      <c r="A38" s="148" t="s">
        <v>74</v>
      </c>
      <c r="B38" s="149">
        <f t="shared" si="2"/>
        <v>364292.5566512983</v>
      </c>
      <c r="C38" s="152"/>
      <c r="D38" s="149">
        <f t="shared" si="3"/>
        <v>364292.5566512983</v>
      </c>
      <c r="E38" s="149">
        <f>'Репрез.ставки'!$J$9*'База налогов'!B40</f>
        <v>285974.5994853354</v>
      </c>
      <c r="F38" s="149">
        <f>'Репрез.ставки'!$J$11*'База налогов'!E40</f>
        <v>0</v>
      </c>
      <c r="G38" s="149">
        <f>'Репрез.ставки'!$J$12*'База налогов'!F40</f>
        <v>1587.8663713817325</v>
      </c>
      <c r="H38" s="149">
        <f>'Репрез.ставки'!$J$14*'База налогов'!G40</f>
        <v>33149.72560010748</v>
      </c>
      <c r="I38" s="149">
        <f>'Репрез.ставки'!$J$15*'База налогов'!H40</f>
        <v>3651.0062291126574</v>
      </c>
      <c r="J38" s="149">
        <f>'Репрез.ставки'!$J$16*'База налогов'!I40</f>
        <v>23571.461364090428</v>
      </c>
      <c r="K38" s="151">
        <f>'Репрез.ставки'!$J$18*'База налогов'!J40</f>
        <v>16357.897601270593</v>
      </c>
    </row>
    <row r="39" spans="1:11" ht="15.75">
      <c r="A39" s="148" t="s">
        <v>50</v>
      </c>
      <c r="B39" s="149">
        <f t="shared" si="2"/>
        <v>722551.4156622293</v>
      </c>
      <c r="C39" s="152"/>
      <c r="D39" s="149">
        <f t="shared" si="3"/>
        <v>722551.4156622293</v>
      </c>
      <c r="E39" s="149">
        <f>'Репрез.ставки'!$J$9*'База налогов'!B41</f>
        <v>401915.6731433431</v>
      </c>
      <c r="F39" s="149">
        <f>'Репрез.ставки'!$J$11*'База налогов'!E41</f>
        <v>0</v>
      </c>
      <c r="G39" s="149">
        <f>'Репрез.ставки'!$J$12*'База налогов'!F41</f>
        <v>9505.69790199313</v>
      </c>
      <c r="H39" s="149">
        <f>'Репрез.ставки'!$J$14*'База налогов'!G41</f>
        <v>162124.94168274538</v>
      </c>
      <c r="I39" s="149">
        <f>'Репрез.ставки'!$J$15*'База налогов'!H41</f>
        <v>3122.353743449286</v>
      </c>
      <c r="J39" s="149">
        <f>'Репрез.ставки'!$J$16*'База налогов'!I41</f>
        <v>71103.7887277471</v>
      </c>
      <c r="K39" s="151">
        <f>'Репрез.ставки'!$J$18*'База налогов'!J41</f>
        <v>74778.96046295129</v>
      </c>
    </row>
    <row r="40" spans="1:11" ht="15.75">
      <c r="A40" s="148" t="s">
        <v>73</v>
      </c>
      <c r="B40" s="149">
        <f t="shared" si="2"/>
        <v>151986.73683010283</v>
      </c>
      <c r="C40" s="152"/>
      <c r="D40" s="149">
        <f t="shared" si="3"/>
        <v>151986.73683010283</v>
      </c>
      <c r="E40" s="149">
        <f>'Репрез.ставки'!$J$9*'База налогов'!B42</f>
        <v>91637.4060494965</v>
      </c>
      <c r="F40" s="149">
        <f>'Репрез.ставки'!$J$11*'База налогов'!E42</f>
        <v>0</v>
      </c>
      <c r="G40" s="149">
        <f>'Репрез.ставки'!$J$12*'База налогов'!F42</f>
        <v>6802.560454123936</v>
      </c>
      <c r="H40" s="149">
        <f>'Репрез.ставки'!$J$14*'База налогов'!G42</f>
        <v>28271.449125122228</v>
      </c>
      <c r="I40" s="149">
        <f>'Репрез.ставки'!$J$15*'База налогов'!H42</f>
        <v>495.61170530941047</v>
      </c>
      <c r="J40" s="149">
        <f>'Репрез.ставки'!$J$16*'База налогов'!I42</f>
        <v>15754.66254362562</v>
      </c>
      <c r="K40" s="151">
        <f>'Репрез.ставки'!$J$18*'База налогов'!J42</f>
        <v>9025.046952425155</v>
      </c>
    </row>
    <row r="41" spans="1:11" ht="15.75">
      <c r="A41" s="148" t="s">
        <v>72</v>
      </c>
      <c r="B41" s="149">
        <f t="shared" si="2"/>
        <v>75937.54758563821</v>
      </c>
      <c r="C41" s="152"/>
      <c r="D41" s="149">
        <f t="shared" si="3"/>
        <v>75937.54758563821</v>
      </c>
      <c r="E41" s="149">
        <f>'Репрез.ставки'!$J$9*'База налогов'!B43</f>
        <v>50110.359802262865</v>
      </c>
      <c r="F41" s="149">
        <f>'Репрез.ставки'!$J$11*'База налогов'!E43</f>
        <v>0</v>
      </c>
      <c r="G41" s="149">
        <f>'Репрез.ставки'!$J$12*'База налогов'!F43</f>
        <v>5377.800006376622</v>
      </c>
      <c r="H41" s="149">
        <f>'Репрез.ставки'!$J$14*'База налогов'!G43</f>
        <v>10327.461954086533</v>
      </c>
      <c r="I41" s="149">
        <f>'Репрез.ставки'!$J$15*'База налогов'!H43</f>
        <v>66.0815607079214</v>
      </c>
      <c r="J41" s="149">
        <f>'Репрез.ставки'!$J$16*'База налогов'!I43</f>
        <v>5623.901562352614</v>
      </c>
      <c r="K41" s="151">
        <f>'Репрез.ставки'!$J$18*'База налогов'!J43</f>
        <v>4431.942699851638</v>
      </c>
    </row>
    <row r="42" spans="1:11" ht="15.75">
      <c r="A42" s="148" t="s">
        <v>71</v>
      </c>
      <c r="B42" s="149">
        <f t="shared" si="2"/>
        <v>63260.5624172733</v>
      </c>
      <c r="C42" s="152"/>
      <c r="D42" s="149">
        <f t="shared" si="3"/>
        <v>63260.5624172733</v>
      </c>
      <c r="E42" s="149">
        <f>'Репрез.ставки'!$J$9*'База налогов'!B44</f>
        <v>44628.67564397154</v>
      </c>
      <c r="F42" s="149">
        <f>'Репрез.ставки'!$J$11*'База налогов'!E44</f>
        <v>0</v>
      </c>
      <c r="G42" s="149">
        <f>'Репрез.ставки'!$J$12*'База налогов'!F44</f>
        <v>788.7297223021924</v>
      </c>
      <c r="H42" s="149">
        <f>'Репрез.ставки'!$J$14*'База налогов'!G44</f>
        <v>7052.6644721432085</v>
      </c>
      <c r="I42" s="149">
        <f>'Репрез.ставки'!$J$15*'База налогов'!H44</f>
        <v>479.0913151324301</v>
      </c>
      <c r="J42" s="149">
        <f>'Репрез.ставки'!$J$16*'База налогов'!I44</f>
        <v>4912.489247541032</v>
      </c>
      <c r="K42" s="151">
        <f>'Репрез.ставки'!$J$18*'База налогов'!J44</f>
        <v>5398.912016182905</v>
      </c>
    </row>
    <row r="43" spans="1:11" ht="15.75">
      <c r="A43" s="148" t="s">
        <v>70</v>
      </c>
      <c r="B43" s="149">
        <f t="shared" si="2"/>
        <v>67894.67640586397</v>
      </c>
      <c r="C43" s="152"/>
      <c r="D43" s="149">
        <f t="shared" si="3"/>
        <v>67894.67640586397</v>
      </c>
      <c r="E43" s="149">
        <f>'Репрез.ставки'!$J$9*'База налогов'!B45</f>
        <v>48414.928696596195</v>
      </c>
      <c r="F43" s="149">
        <f>'Репрез.ставки'!$J$11*'База налогов'!E45</f>
        <v>0</v>
      </c>
      <c r="G43" s="149">
        <f>'Репрез.ставки'!$J$12*'База налогов'!F45</f>
        <v>228.65034109491563</v>
      </c>
      <c r="H43" s="149">
        <f>'Репрез.ставки'!$J$14*'База налогов'!G45</f>
        <v>9294.010932746873</v>
      </c>
      <c r="I43" s="149">
        <f>'Репрез.ставки'!$J$15*'База налогов'!H45</f>
        <v>313.88741336262666</v>
      </c>
      <c r="J43" s="149">
        <f>'Репрез.ставки'!$J$16*'База налогов'!I45</f>
        <v>4727.771664046095</v>
      </c>
      <c r="K43" s="151">
        <f>'Репрез.ставки'!$J$18*'База налогов'!J45</f>
        <v>4915.427358017272</v>
      </c>
    </row>
    <row r="44" spans="1:11" ht="15.75">
      <c r="A44" s="153" t="s">
        <v>69</v>
      </c>
      <c r="B44" s="154">
        <f t="shared" si="2"/>
        <v>120526.36217890147</v>
      </c>
      <c r="C44" s="155"/>
      <c r="D44" s="154">
        <f t="shared" si="3"/>
        <v>120526.36217890147</v>
      </c>
      <c r="E44" s="149">
        <f>'Репрез.ставки'!$J$9*'База налогов'!B46</f>
        <v>76935.79929395113</v>
      </c>
      <c r="F44" s="149">
        <f>'Репрез.ставки'!$J$11*'База налогов'!E46</f>
        <v>0</v>
      </c>
      <c r="G44" s="149">
        <f>'Репрез.ставки'!$J$12*'База налогов'!F46</f>
        <v>1365.586497337858</v>
      </c>
      <c r="H44" s="149">
        <f>'Репрез.ставки'!$J$14*'База налогов'!G46</f>
        <v>24051.303863215173</v>
      </c>
      <c r="I44" s="149">
        <f>'Репрез.ставки'!$J$15*'База налогов'!H46</f>
        <v>66.0815607079214</v>
      </c>
      <c r="J44" s="149">
        <f>'Репрез.ставки'!$J$16*'База налогов'!I46</f>
        <v>10492.707597580653</v>
      </c>
      <c r="K44" s="151">
        <f>'Репрез.ставки'!$J$18*'База налогов'!J46</f>
        <v>7614.883366108725</v>
      </c>
    </row>
    <row r="45" spans="1:11" ht="15.75">
      <c r="A45" s="7" t="s">
        <v>35</v>
      </c>
      <c r="B45" s="44">
        <f aca="true" t="shared" si="4" ref="B45:I45">SUM(B7:B44)</f>
        <v>30930358.22085595</v>
      </c>
      <c r="C45" s="45">
        <f t="shared" si="4"/>
        <v>0</v>
      </c>
      <c r="D45" s="44">
        <f t="shared" si="4"/>
        <v>30930358.22085595</v>
      </c>
      <c r="E45" s="44">
        <f t="shared" si="4"/>
        <v>20704767.506849997</v>
      </c>
      <c r="F45" s="44">
        <f t="shared" si="4"/>
        <v>0</v>
      </c>
      <c r="G45" s="44">
        <f t="shared" si="4"/>
        <v>157913.93807</v>
      </c>
      <c r="H45" s="44">
        <f t="shared" si="4"/>
        <v>4400641.167790001</v>
      </c>
      <c r="I45" s="44">
        <f t="shared" si="4"/>
        <v>135351.55672</v>
      </c>
      <c r="J45" s="44">
        <f>SUM(J7:J44)</f>
        <v>3843461.1948996903</v>
      </c>
      <c r="K45" s="44">
        <f>SUM(K7:K44)</f>
        <v>1688222.8565262672</v>
      </c>
    </row>
  </sheetData>
  <sheetProtection/>
  <mergeCells count="1">
    <mergeCell ref="A2:K2"/>
  </mergeCells>
  <printOptions horizontalCentered="1" verticalCentered="1"/>
  <pageMargins left="0.2755905511811024" right="0.2362204724409449" top="0.3937007874015748" bottom="0.2362204724409449" header="0.19" footer="0.2362204724409449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3"/>
  <sheetViews>
    <sheetView view="pageBreakPreview" zoomScale="90" zoomScaleNormal="75" zoomScaleSheetLayoutView="90" zoomScalePageLayoutView="0" workbookViewId="0" topLeftCell="A1">
      <selection activeCell="D35" sqref="D35"/>
    </sheetView>
  </sheetViews>
  <sheetFormatPr defaultColWidth="9.00390625" defaultRowHeight="12.75"/>
  <cols>
    <col min="1" max="1" width="21.00390625" style="0" customWidth="1"/>
    <col min="2" max="2" width="13.875" style="0" customWidth="1"/>
    <col min="3" max="3" width="14.25390625" style="0" customWidth="1"/>
    <col min="4" max="4" width="14.375" style="0" customWidth="1"/>
    <col min="5" max="5" width="10.625" style="0" customWidth="1"/>
    <col min="6" max="6" width="13.875" style="0" customWidth="1"/>
    <col min="7" max="7" width="14.25390625" style="0" customWidth="1"/>
    <col min="8" max="8" width="19.75390625" style="0" customWidth="1"/>
    <col min="9" max="9" width="18.625" style="0" customWidth="1"/>
    <col min="10" max="12" width="16.125" style="0" customWidth="1"/>
    <col min="13" max="13" width="14.375" style="0" customWidth="1"/>
    <col min="14" max="14" width="15.125" style="0" customWidth="1"/>
    <col min="15" max="15" width="9.375" style="0" hidden="1" customWidth="1"/>
    <col min="16" max="16" width="10.125" style="0" hidden="1" customWidth="1"/>
    <col min="17" max="17" width="9.375" style="0" hidden="1" customWidth="1"/>
  </cols>
  <sheetData>
    <row r="1" spans="1:18" ht="15.75">
      <c r="A1" s="156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8" t="s">
        <v>186</v>
      </c>
      <c r="O1" s="159">
        <v>0.7104834683172144</v>
      </c>
      <c r="P1" s="160">
        <v>0.045345859556281884</v>
      </c>
      <c r="Q1" s="159">
        <v>0.707177082413455</v>
      </c>
      <c r="R1" s="161"/>
    </row>
    <row r="2" spans="1:18" ht="15.75">
      <c r="A2" s="220" t="s">
        <v>175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2"/>
      <c r="O2" s="162">
        <v>859701</v>
      </c>
      <c r="P2" s="163"/>
      <c r="Q2" s="162">
        <v>859701</v>
      </c>
      <c r="R2" s="161"/>
    </row>
    <row r="3" spans="1:18" ht="15.75">
      <c r="A3" s="200">
        <f>IF(O2=ROUND(H49,2),"","Необходим пересчёт сумм! Нажмите на кнопку Расчёт!")</f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2"/>
      <c r="N3" s="203"/>
      <c r="O3" s="164"/>
      <c r="P3" s="163"/>
      <c r="Q3" s="163"/>
      <c r="R3" s="161"/>
    </row>
    <row r="4" spans="1:18" ht="117" customHeight="1">
      <c r="A4" s="223" t="s">
        <v>44</v>
      </c>
      <c r="B4" s="223" t="s">
        <v>169</v>
      </c>
      <c r="C4" s="223" t="s">
        <v>176</v>
      </c>
      <c r="D4" s="223" t="s">
        <v>143</v>
      </c>
      <c r="E4" s="223" t="s">
        <v>48</v>
      </c>
      <c r="F4" s="223" t="s">
        <v>177</v>
      </c>
      <c r="G4" s="223" t="s">
        <v>178</v>
      </c>
      <c r="H4" s="217" t="str">
        <f>"Сумма дотации на выравнивание БО МР(ГО) на 2023 год,
тыс. рублей
("&amp;ROUND(Q1,4)&amp;"-[6])х"&amp;ROUND(F49,3)&amp;"х[4]х0,8"</f>
        <v>Сумма дотации на выравнивание БО МР(ГО) на 2023 год,
тыс. рублей
(0,7072-[6])х9,695х[4]х0,8</v>
      </c>
      <c r="I4" s="217" t="str">
        <f>"Сумма дотации на выравнивание БО МР(ГО) на 2024 год,
тыс. рублей
("&amp;ROUND(S1,4)&amp;"-[6])х"&amp;ROUND(G49,3)&amp;"х[4]х0,8"</f>
        <v>Сумма дотации на выравнивание БО МР(ГО) на 2024 год,
тыс. рублей
(0-[6])х9,806х[4]х0,8</v>
      </c>
      <c r="J4" s="219" t="s">
        <v>179</v>
      </c>
      <c r="K4" s="219" t="s">
        <v>180</v>
      </c>
      <c r="L4" s="219"/>
      <c r="M4" s="219" t="s">
        <v>183</v>
      </c>
      <c r="N4" s="219"/>
      <c r="O4" s="163"/>
      <c r="P4" s="163"/>
      <c r="Q4" s="163"/>
      <c r="R4" s="161"/>
    </row>
    <row r="5" spans="1:18" ht="51" customHeight="1">
      <c r="A5" s="224"/>
      <c r="B5" s="224"/>
      <c r="C5" s="224"/>
      <c r="D5" s="224"/>
      <c r="E5" s="224"/>
      <c r="F5" s="224"/>
      <c r="G5" s="224"/>
      <c r="H5" s="218"/>
      <c r="I5" s="218"/>
      <c r="J5" s="219"/>
      <c r="K5" s="2" t="s">
        <v>181</v>
      </c>
      <c r="L5" s="2" t="s">
        <v>182</v>
      </c>
      <c r="M5" s="3" t="s">
        <v>184</v>
      </c>
      <c r="N5" s="3" t="s">
        <v>182</v>
      </c>
      <c r="O5" s="163"/>
      <c r="P5" s="163"/>
      <c r="Q5" s="163"/>
      <c r="R5" s="161"/>
    </row>
    <row r="6" spans="1:18" ht="15.75">
      <c r="A6" s="165" t="s">
        <v>38</v>
      </c>
      <c r="B6" s="165" t="s">
        <v>39</v>
      </c>
      <c r="C6" s="165" t="s">
        <v>40</v>
      </c>
      <c r="D6" s="165" t="s">
        <v>41</v>
      </c>
      <c r="E6" s="165" t="s">
        <v>42</v>
      </c>
      <c r="F6" s="165" t="s">
        <v>46</v>
      </c>
      <c r="G6" s="165" t="s">
        <v>43</v>
      </c>
      <c r="H6" s="165" t="s">
        <v>45</v>
      </c>
      <c r="I6" s="165" t="s">
        <v>51</v>
      </c>
      <c r="J6" s="165" t="s">
        <v>52</v>
      </c>
      <c r="K6" s="4" t="s">
        <v>170</v>
      </c>
      <c r="L6" s="4" t="s">
        <v>171</v>
      </c>
      <c r="M6" s="165" t="s">
        <v>170</v>
      </c>
      <c r="N6" s="165" t="s">
        <v>171</v>
      </c>
      <c r="O6" s="163"/>
      <c r="P6" s="163"/>
      <c r="Q6" s="163"/>
      <c r="R6" s="161"/>
    </row>
    <row r="7" spans="1:18" ht="15.75">
      <c r="A7" s="166" t="s">
        <v>172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8"/>
      <c r="O7" s="163"/>
      <c r="P7" s="163"/>
      <c r="Q7" s="163"/>
      <c r="R7" s="161"/>
    </row>
    <row r="8" spans="1:29" ht="15.75">
      <c r="A8" s="169" t="s">
        <v>0</v>
      </c>
      <c r="B8" s="170">
        <f>'Налог.потенц. 2023'!B7</f>
        <v>14886121.788547898</v>
      </c>
      <c r="C8" s="170">
        <f>'Налог.потенц. 2024'!B7</f>
        <v>15066485.233672677</v>
      </c>
      <c r="D8" s="171">
        <v>1144793</v>
      </c>
      <c r="E8" s="172">
        <f>'Свод индексов'!E10</f>
        <v>0.897417152075801</v>
      </c>
      <c r="F8" s="173">
        <f>B8/D8/(B$49/D$49)/E8</f>
        <v>1.4944916639387318</v>
      </c>
      <c r="G8" s="173">
        <f>C8/D8/(C$49/D$49)/E8</f>
        <v>1.495512130445952</v>
      </c>
      <c r="H8" s="174">
        <f>IF($O$1&gt;F8,($O$1-F8)*(B$49/D$49)*D8*0.8,0)</f>
        <v>0</v>
      </c>
      <c r="I8" s="174">
        <f>IF($Q$1&gt;G8,($Q$1-G8)*(C$49/D$49)*D8*0.8,0)</f>
        <v>0</v>
      </c>
      <c r="J8" s="174"/>
      <c r="K8" s="174">
        <f>H8*0.8</f>
        <v>0</v>
      </c>
      <c r="L8" s="174">
        <f>I8*0.8</f>
        <v>0</v>
      </c>
      <c r="M8" s="208">
        <f>IF(ROUND(H8*0.8,0)&lt;J8,J8,ROUND(H8*0.8,0))</f>
        <v>0</v>
      </c>
      <c r="N8" s="208">
        <f>ROUND(I8*0.8+P$1,0)</f>
        <v>0</v>
      </c>
      <c r="O8" s="163"/>
      <c r="P8" s="163"/>
      <c r="Q8" s="163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</row>
    <row r="9" spans="1:28" ht="15.75">
      <c r="A9" s="169" t="s">
        <v>1</v>
      </c>
      <c r="B9" s="170">
        <f>'Налог.потенц. 2023'!B8</f>
        <v>6146254.296356862</v>
      </c>
      <c r="C9" s="170">
        <f>'Налог.потенц. 2024'!B8</f>
        <v>6237123.547295902</v>
      </c>
      <c r="D9" s="171">
        <v>693072</v>
      </c>
      <c r="E9" s="172">
        <f>'Свод индексов'!E11</f>
        <v>0.9818173366051011</v>
      </c>
      <c r="F9" s="173">
        <f aca="true" t="shared" si="0" ref="F9:F17">B9/D9/(B$49/D$49)/E9</f>
        <v>0.9316112724532737</v>
      </c>
      <c r="G9" s="173">
        <f aca="true" t="shared" si="1" ref="G9:G17">C9/D9/(C$49/D$49)/E9</f>
        <v>0.9347051108497383</v>
      </c>
      <c r="H9" s="174">
        <f aca="true" t="shared" si="2" ref="H9:H17">IF($O$1&gt;F9,($O$1-F9)*(B$49/D$49)*D9*0.8,0)</f>
        <v>0</v>
      </c>
      <c r="I9" s="174">
        <f aca="true" t="shared" si="3" ref="I9:I17">IF($Q$1&gt;G9,($Q$1-G9)*(C$49/D$49)*D9*0.8,0)</f>
        <v>0</v>
      </c>
      <c r="J9" s="174"/>
      <c r="K9" s="174">
        <f aca="true" t="shared" si="4" ref="K9:K17">H9*0.8</f>
        <v>0</v>
      </c>
      <c r="L9" s="174">
        <f aca="true" t="shared" si="5" ref="L9:L17">I9*0.8</f>
        <v>0</v>
      </c>
      <c r="M9" s="208">
        <f aca="true" t="shared" si="6" ref="M9:M17">IF(ROUND(H9*0.8,0)&lt;J9,J9,ROUND(H9*0.8,0))</f>
        <v>0</v>
      </c>
      <c r="N9" s="208">
        <f aca="true" t="shared" si="7" ref="N9:N16">ROUND(I9*0.8+P$1,0)</f>
        <v>0</v>
      </c>
      <c r="O9" s="163"/>
      <c r="P9" s="163"/>
      <c r="Q9" s="163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</row>
    <row r="10" spans="1:28" ht="15.75">
      <c r="A10" s="169" t="s">
        <v>2</v>
      </c>
      <c r="B10" s="170">
        <f>'Налог.потенц. 2023'!B9</f>
        <v>1327310.421644709</v>
      </c>
      <c r="C10" s="170">
        <f>'Налог.потенц. 2024'!B9</f>
        <v>1339056.8941671173</v>
      </c>
      <c r="D10" s="171">
        <v>165896</v>
      </c>
      <c r="E10" s="172">
        <f>'Свод индексов'!E12</f>
        <v>1.0714378374299927</v>
      </c>
      <c r="F10" s="173">
        <f t="shared" si="0"/>
        <v>0.7701988585057399</v>
      </c>
      <c r="G10" s="173">
        <f t="shared" si="1"/>
        <v>0.7682374188174321</v>
      </c>
      <c r="H10" s="174">
        <f t="shared" si="2"/>
        <v>0</v>
      </c>
      <c r="I10" s="174">
        <f t="shared" si="3"/>
        <v>0</v>
      </c>
      <c r="J10" s="174"/>
      <c r="K10" s="174">
        <f t="shared" si="4"/>
        <v>0</v>
      </c>
      <c r="L10" s="174">
        <f t="shared" si="5"/>
        <v>0</v>
      </c>
      <c r="M10" s="208">
        <f>IF(ROUND(H10*0.8,0)&lt;J10,J10,ROUND(H10*0.8,0))</f>
        <v>0</v>
      </c>
      <c r="N10" s="208">
        <f t="shared" si="7"/>
        <v>0</v>
      </c>
      <c r="O10" s="163"/>
      <c r="P10" s="163"/>
      <c r="Q10" s="163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</row>
    <row r="11" spans="1:28" ht="15.75">
      <c r="A11" s="169" t="s">
        <v>11</v>
      </c>
      <c r="B11" s="170">
        <f>'Налог.потенц. 2023'!B10</f>
        <v>1016897.3028263843</v>
      </c>
      <c r="C11" s="170">
        <f>'Налог.потенц. 2024'!B10</f>
        <v>1027362.3254790186</v>
      </c>
      <c r="D11" s="171">
        <v>101555</v>
      </c>
      <c r="E11" s="172">
        <f>'Свод индексов'!E13</f>
        <v>1.0735675084402765</v>
      </c>
      <c r="F11" s="173">
        <f t="shared" si="0"/>
        <v>0.9620102204694965</v>
      </c>
      <c r="G11" s="173">
        <f t="shared" si="1"/>
        <v>0.960931183007361</v>
      </c>
      <c r="H11" s="174">
        <f t="shared" si="2"/>
        <v>0</v>
      </c>
      <c r="I11" s="174">
        <f t="shared" si="3"/>
        <v>0</v>
      </c>
      <c r="J11" s="174"/>
      <c r="K11" s="174">
        <f t="shared" si="4"/>
        <v>0</v>
      </c>
      <c r="L11" s="174">
        <f t="shared" si="5"/>
        <v>0</v>
      </c>
      <c r="M11" s="208">
        <f t="shared" si="6"/>
        <v>0</v>
      </c>
      <c r="N11" s="208">
        <f t="shared" si="7"/>
        <v>0</v>
      </c>
      <c r="O11" s="163"/>
      <c r="P11" s="163"/>
      <c r="Q11" s="163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</row>
    <row r="12" spans="1:28" ht="15.75">
      <c r="A12" s="169" t="s">
        <v>3</v>
      </c>
      <c r="B12" s="170">
        <f>'Налог.потенц. 2023'!B11</f>
        <v>330742.8253395372</v>
      </c>
      <c r="C12" s="170">
        <f>'Налог.потенц. 2024'!B11</f>
        <v>334402.91121692024</v>
      </c>
      <c r="D12" s="171">
        <v>70944</v>
      </c>
      <c r="E12" s="172">
        <f>'Свод индексов'!E14</f>
        <v>1.095902913096051</v>
      </c>
      <c r="F12" s="173">
        <f t="shared" si="0"/>
        <v>0.4387690033074536</v>
      </c>
      <c r="G12" s="173">
        <f t="shared" si="1"/>
        <v>0.4386131192607134</v>
      </c>
      <c r="H12" s="174">
        <f t="shared" si="2"/>
        <v>149515.13503271702</v>
      </c>
      <c r="I12" s="174">
        <f t="shared" si="3"/>
        <v>149470.01383964345</v>
      </c>
      <c r="J12" s="174">
        <v>92637</v>
      </c>
      <c r="K12" s="174">
        <f t="shared" si="4"/>
        <v>119612.10802617362</v>
      </c>
      <c r="L12" s="174">
        <f t="shared" si="5"/>
        <v>119576.01107171476</v>
      </c>
      <c r="M12" s="208">
        <f>IF(ROUND(H12*0.8,0)&lt;J12,J12,ROUND(H12*0.8,0))</f>
        <v>119612</v>
      </c>
      <c r="N12" s="208">
        <f>ROUND(I12*0.8+P$1,0)</f>
        <v>119576</v>
      </c>
      <c r="O12" s="163"/>
      <c r="P12" s="163"/>
      <c r="Q12" s="163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</row>
    <row r="13" spans="1:28" ht="15.75">
      <c r="A13" s="169" t="s">
        <v>4</v>
      </c>
      <c r="B13" s="170">
        <f>'Налог.потенц. 2023'!B12</f>
        <v>383276.1188020004</v>
      </c>
      <c r="C13" s="170">
        <f>'Налог.потенц. 2024'!B12</f>
        <v>386290.7143031534</v>
      </c>
      <c r="D13" s="171">
        <v>47055</v>
      </c>
      <c r="E13" s="172">
        <f>'Свод индексов'!E15</f>
        <v>1.0994737284328</v>
      </c>
      <c r="F13" s="173">
        <f t="shared" si="0"/>
        <v>0.764107365437117</v>
      </c>
      <c r="G13" s="173">
        <f t="shared" si="1"/>
        <v>0.7614176771071108</v>
      </c>
      <c r="H13" s="174">
        <f t="shared" si="2"/>
        <v>0</v>
      </c>
      <c r="I13" s="174">
        <f t="shared" si="3"/>
        <v>0</v>
      </c>
      <c r="J13" s="174">
        <v>0</v>
      </c>
      <c r="K13" s="174">
        <f t="shared" si="4"/>
        <v>0</v>
      </c>
      <c r="L13" s="174">
        <f t="shared" si="5"/>
        <v>0</v>
      </c>
      <c r="M13" s="208">
        <f t="shared" si="6"/>
        <v>0</v>
      </c>
      <c r="N13" s="208">
        <f t="shared" si="7"/>
        <v>0</v>
      </c>
      <c r="O13" s="163"/>
      <c r="P13" s="163"/>
      <c r="Q13" s="163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</row>
    <row r="14" spans="1:28" ht="15.75">
      <c r="A14" s="169" t="s">
        <v>12</v>
      </c>
      <c r="B14" s="170">
        <f>'Налог.потенц. 2023'!B13</f>
        <v>342981.31570035557</v>
      </c>
      <c r="C14" s="170">
        <f>'Налог.потенц. 2024'!B13</f>
        <v>346663.18645245064</v>
      </c>
      <c r="D14" s="171">
        <v>54760</v>
      </c>
      <c r="E14" s="172">
        <f>'Свод индексов'!E16</f>
        <v>1.0927035668090315</v>
      </c>
      <c r="F14" s="173">
        <f t="shared" si="0"/>
        <v>0.5912047599473289</v>
      </c>
      <c r="G14" s="173">
        <f t="shared" si="1"/>
        <v>0.5908010320078083</v>
      </c>
      <c r="H14" s="174">
        <f t="shared" si="2"/>
        <v>50662.08904470517</v>
      </c>
      <c r="I14" s="174">
        <f t="shared" si="3"/>
        <v>49993.980859094765</v>
      </c>
      <c r="J14" s="174">
        <v>29672</v>
      </c>
      <c r="K14" s="174">
        <f t="shared" si="4"/>
        <v>40529.67123576414</v>
      </c>
      <c r="L14" s="174">
        <f t="shared" si="5"/>
        <v>39995.18468727582</v>
      </c>
      <c r="M14" s="208">
        <f>IF(ROUND(H14*0.8,0)&lt;J14,J14,ROUND(H14*0.8,0))</f>
        <v>40530</v>
      </c>
      <c r="N14" s="208">
        <f t="shared" si="7"/>
        <v>39995</v>
      </c>
      <c r="O14" s="163"/>
      <c r="P14" s="163"/>
      <c r="Q14" s="163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</row>
    <row r="15" spans="1:28" ht="15.75">
      <c r="A15" s="169" t="s">
        <v>5</v>
      </c>
      <c r="B15" s="170">
        <f>'Налог.потенц. 2023'!B14</f>
        <v>104810.1038195885</v>
      </c>
      <c r="C15" s="170">
        <f>'Налог.потенц. 2024'!B14</f>
        <v>105636.11365241598</v>
      </c>
      <c r="D15" s="171">
        <v>25771</v>
      </c>
      <c r="E15" s="172">
        <f>'Свод индексов'!E17</f>
        <v>1.090148423573888</v>
      </c>
      <c r="F15" s="173">
        <f t="shared" si="0"/>
        <v>0.3847862188208237</v>
      </c>
      <c r="G15" s="173">
        <f t="shared" si="1"/>
        <v>0.3834377202767451</v>
      </c>
      <c r="H15" s="174">
        <f t="shared" si="2"/>
        <v>65103.162953068735</v>
      </c>
      <c r="I15" s="174">
        <f t="shared" si="3"/>
        <v>65451.17444015434</v>
      </c>
      <c r="J15" s="174">
        <v>52368</v>
      </c>
      <c r="K15" s="174">
        <f t="shared" si="4"/>
        <v>52082.53036245499</v>
      </c>
      <c r="L15" s="174">
        <f t="shared" si="5"/>
        <v>52360.93955212348</v>
      </c>
      <c r="M15" s="208">
        <f t="shared" si="6"/>
        <v>52368</v>
      </c>
      <c r="N15" s="208">
        <f t="shared" si="7"/>
        <v>52361</v>
      </c>
      <c r="O15" s="163"/>
      <c r="P15" s="163"/>
      <c r="Q15" s="163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</row>
    <row r="16" spans="1:28" ht="15.75">
      <c r="A16" s="169" t="s">
        <v>6</v>
      </c>
      <c r="B16" s="170">
        <f>'Налог.потенц. 2023'!B15</f>
        <v>380790.604719469</v>
      </c>
      <c r="C16" s="170">
        <f>'Налог.потенц. 2024'!B15</f>
        <v>386185.87856023543</v>
      </c>
      <c r="D16" s="171">
        <v>58125</v>
      </c>
      <c r="E16" s="172">
        <f>'Свод индексов'!E18</f>
        <v>1.1097669899812326</v>
      </c>
      <c r="F16" s="173">
        <f t="shared" si="0"/>
        <v>0.6088701962384201</v>
      </c>
      <c r="G16" s="173">
        <f t="shared" si="1"/>
        <v>0.61052147029576</v>
      </c>
      <c r="H16" s="174">
        <f t="shared" si="2"/>
        <v>45811.037670132646</v>
      </c>
      <c r="I16" s="174">
        <f t="shared" si="3"/>
        <v>44073.821421087545</v>
      </c>
      <c r="J16" s="174">
        <v>29282</v>
      </c>
      <c r="K16" s="174">
        <f t="shared" si="4"/>
        <v>36648.83013610612</v>
      </c>
      <c r="L16" s="174">
        <f t="shared" si="5"/>
        <v>35259.05713687004</v>
      </c>
      <c r="M16" s="208">
        <f t="shared" si="6"/>
        <v>36649</v>
      </c>
      <c r="N16" s="208">
        <f t="shared" si="7"/>
        <v>35259</v>
      </c>
      <c r="O16" s="163"/>
      <c r="P16" s="163"/>
      <c r="Q16" s="163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</row>
    <row r="17" spans="1:28" ht="15.75">
      <c r="A17" s="169" t="s">
        <v>13</v>
      </c>
      <c r="B17" s="170">
        <f>'Налог.потенц. 2023'!B16</f>
        <v>163934.21187113354</v>
      </c>
      <c r="C17" s="170">
        <f>'Налог.потенц. 2024'!B16</f>
        <v>165622.5396613084</v>
      </c>
      <c r="D17" s="171">
        <v>28680</v>
      </c>
      <c r="E17" s="172">
        <f>'Свод индексов'!E19</f>
        <v>1.1108498232420692</v>
      </c>
      <c r="F17" s="173">
        <f t="shared" si="0"/>
        <v>0.5307235510688988</v>
      </c>
      <c r="G17" s="173">
        <f t="shared" si="1"/>
        <v>0.5301322970345415</v>
      </c>
      <c r="H17" s="174">
        <f t="shared" si="2"/>
        <v>39987.91251396082</v>
      </c>
      <c r="I17" s="174">
        <f t="shared" si="3"/>
        <v>39833.91138614148</v>
      </c>
      <c r="J17" s="174">
        <v>24268</v>
      </c>
      <c r="K17" s="174">
        <f t="shared" si="4"/>
        <v>31990.33001116866</v>
      </c>
      <c r="L17" s="174">
        <f t="shared" si="5"/>
        <v>31867.129108913185</v>
      </c>
      <c r="M17" s="208">
        <f t="shared" si="6"/>
        <v>31990</v>
      </c>
      <c r="N17" s="208">
        <f>ROUND(I17*0.8+P$1,0)</f>
        <v>31867</v>
      </c>
      <c r="O17" s="163"/>
      <c r="P17" s="163"/>
      <c r="Q17" s="163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</row>
    <row r="18" spans="1:28" ht="15.75">
      <c r="A18" s="166" t="s">
        <v>173</v>
      </c>
      <c r="B18" s="176"/>
      <c r="C18" s="176"/>
      <c r="D18" s="177"/>
      <c r="E18" s="178"/>
      <c r="F18" s="179"/>
      <c r="G18" s="179"/>
      <c r="H18" s="179"/>
      <c r="I18" s="179"/>
      <c r="J18" s="179"/>
      <c r="K18" s="179"/>
      <c r="L18" s="179"/>
      <c r="M18" s="180"/>
      <c r="N18" s="181"/>
      <c r="O18" s="163"/>
      <c r="P18" s="163"/>
      <c r="Q18" s="163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</row>
    <row r="19" spans="1:28" ht="15.75">
      <c r="A19" s="169" t="s">
        <v>14</v>
      </c>
      <c r="B19" s="170">
        <f>'Налог.потенц. 2023'!B18</f>
        <v>54279.206972650005</v>
      </c>
      <c r="C19" s="170">
        <f>'Налог.потенц. 2024'!B18</f>
        <v>54608.022425333256</v>
      </c>
      <c r="D19" s="171">
        <v>11374</v>
      </c>
      <c r="E19" s="172">
        <f>'Свод индексов'!E21</f>
        <v>1.1074279748380074</v>
      </c>
      <c r="F19" s="173">
        <f>B19/D19/(B$49/D$49)/E19</f>
        <v>0.4444654836582452</v>
      </c>
      <c r="G19" s="173">
        <f>C19/D19/(C$49/D$49)/E19</f>
        <v>0.44210665879801014</v>
      </c>
      <c r="H19" s="174">
        <f>IF($O$1&gt;F19,($O$1-F19)*(B$49/D$49)*D19*0.8,0)</f>
        <v>23468.26316808927</v>
      </c>
      <c r="I19" s="174">
        <f>IF($Q$1&gt;G19,($Q$1-G19)*(C$49/D$49)*D19*0.8,0)</f>
        <v>23651.852517088755</v>
      </c>
      <c r="J19" s="174">
        <v>10902</v>
      </c>
      <c r="K19" s="174">
        <f>H19*0.8</f>
        <v>18774.610534471416</v>
      </c>
      <c r="L19" s="174">
        <f>I19*0.8</f>
        <v>18921.482013671004</v>
      </c>
      <c r="M19" s="208">
        <f aca="true" t="shared" si="8" ref="M19:M43">IF(ROUND(H19*0.8,0)&lt;J19,J19,ROUND(H19*0.8,0))</f>
        <v>18775</v>
      </c>
      <c r="N19" s="208">
        <f aca="true" t="shared" si="9" ref="N19:N45">ROUND(I19*0.8+P$1,0)</f>
        <v>18922</v>
      </c>
      <c r="O19" s="163"/>
      <c r="P19" s="163"/>
      <c r="Q19" s="163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</row>
    <row r="20" spans="1:28" ht="15.75">
      <c r="A20" s="169" t="s">
        <v>15</v>
      </c>
      <c r="B20" s="170">
        <f>'Налог.потенц. 2023'!B19</f>
        <v>289528.2136979813</v>
      </c>
      <c r="C20" s="170">
        <f>'Налог.потенц. 2024'!B19</f>
        <v>291909.34588915133</v>
      </c>
      <c r="D20" s="171">
        <v>38322</v>
      </c>
      <c r="E20" s="172">
        <f>'Свод индексов'!E22</f>
        <v>1.0927194808848377</v>
      </c>
      <c r="F20" s="173">
        <f aca="true" t="shared" si="10" ref="F20:F45">B20/D20/(B$49/D$49)/E20</f>
        <v>0.7131276881234695</v>
      </c>
      <c r="G20" s="173">
        <f aca="true" t="shared" si="11" ref="G20:G45">C20/D20/(C$49/D$49)/E20</f>
        <v>0.7108704611084343</v>
      </c>
      <c r="H20" s="174">
        <f aca="true" t="shared" si="12" ref="H20:H45">IF($O$1&gt;F20,($O$1-F20)*(B$49/D$49)*D20*0.8,0)</f>
        <v>0</v>
      </c>
      <c r="I20" s="174">
        <f aca="true" t="shared" si="13" ref="I20:I45">IF($Q$1&gt;G20,($Q$1-G20)*(C$49/D$49)*D20*0.8,0)</f>
        <v>0</v>
      </c>
      <c r="J20" s="174">
        <v>21710</v>
      </c>
      <c r="K20" s="174">
        <f aca="true" t="shared" si="14" ref="K20:K45">H20*0.8</f>
        <v>0</v>
      </c>
      <c r="L20" s="174">
        <f aca="true" t="shared" si="15" ref="L20:L45">I20*0.8</f>
        <v>0</v>
      </c>
      <c r="M20" s="208">
        <f t="shared" si="8"/>
        <v>21710</v>
      </c>
      <c r="N20" s="208">
        <f t="shared" si="9"/>
        <v>0</v>
      </c>
      <c r="O20" s="163"/>
      <c r="P20" s="163"/>
      <c r="Q20" s="163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</row>
    <row r="21" spans="1:28" ht="15.75">
      <c r="A21" s="169" t="s">
        <v>16</v>
      </c>
      <c r="B21" s="170">
        <f>'Налог.потенц. 2023'!B20</f>
        <v>96997.4076601572</v>
      </c>
      <c r="C21" s="170">
        <f>'Налог.потенц. 2024'!B20</f>
        <v>97669.3348895534</v>
      </c>
      <c r="D21" s="171">
        <v>14185</v>
      </c>
      <c r="E21" s="172">
        <f>'Свод индексов'!E23</f>
        <v>1.104503421947759</v>
      </c>
      <c r="F21" s="173">
        <f t="shared" si="10"/>
        <v>0.6385530474126327</v>
      </c>
      <c r="G21" s="173">
        <f t="shared" si="11"/>
        <v>0.6357130769549331</v>
      </c>
      <c r="H21" s="174">
        <f t="shared" si="12"/>
        <v>7914.047791032933</v>
      </c>
      <c r="I21" s="174">
        <f t="shared" si="13"/>
        <v>7952.56743545991</v>
      </c>
      <c r="J21" s="174">
        <v>5961</v>
      </c>
      <c r="K21" s="174">
        <f t="shared" si="14"/>
        <v>6331.238232826347</v>
      </c>
      <c r="L21" s="174">
        <f t="shared" si="15"/>
        <v>6362.053948367928</v>
      </c>
      <c r="M21" s="208">
        <f t="shared" si="8"/>
        <v>6331</v>
      </c>
      <c r="N21" s="208">
        <f t="shared" si="9"/>
        <v>6362</v>
      </c>
      <c r="O21" s="163"/>
      <c r="P21" s="163"/>
      <c r="Q21" s="163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</row>
    <row r="22" spans="1:28" ht="15.75">
      <c r="A22" s="169" t="s">
        <v>36</v>
      </c>
      <c r="B22" s="170">
        <f>'Налог.потенц. 2023'!B21</f>
        <v>125444.41152834594</v>
      </c>
      <c r="C22" s="170">
        <f>'Налог.потенц. 2024'!B21</f>
        <v>126570.87109157551</v>
      </c>
      <c r="D22" s="171">
        <v>17880</v>
      </c>
      <c r="E22" s="172">
        <f>'Свод индексов'!E24</f>
        <v>1.0968666747675593</v>
      </c>
      <c r="F22" s="173">
        <f t="shared" si="10"/>
        <v>0.6597254262576189</v>
      </c>
      <c r="G22" s="173">
        <f t="shared" si="11"/>
        <v>0.6581300689584696</v>
      </c>
      <c r="H22" s="174">
        <f t="shared" si="12"/>
        <v>7039.293974120516</v>
      </c>
      <c r="I22" s="174">
        <f t="shared" si="13"/>
        <v>6879.719766344686</v>
      </c>
      <c r="J22" s="174">
        <v>8527</v>
      </c>
      <c r="K22" s="174">
        <f t="shared" si="14"/>
        <v>5631.4351792964135</v>
      </c>
      <c r="L22" s="174">
        <f t="shared" si="15"/>
        <v>5503.775813075749</v>
      </c>
      <c r="M22" s="208">
        <f t="shared" si="8"/>
        <v>8527</v>
      </c>
      <c r="N22" s="208">
        <f t="shared" si="9"/>
        <v>5504</v>
      </c>
      <c r="O22" s="163"/>
      <c r="P22" s="163"/>
      <c r="Q22" s="163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</row>
    <row r="23" spans="1:28" ht="15.75">
      <c r="A23" s="169" t="s">
        <v>37</v>
      </c>
      <c r="B23" s="170">
        <f>'Налог.потенц. 2023'!B22</f>
        <v>113315.3982564235</v>
      </c>
      <c r="C23" s="170">
        <f>'Налог.потенц. 2024'!B22</f>
        <v>114341.44316277775</v>
      </c>
      <c r="D23" s="171">
        <v>16905</v>
      </c>
      <c r="E23" s="172">
        <f>'Свод индексов'!E25</f>
        <v>1.1413712335315551</v>
      </c>
      <c r="F23" s="173">
        <f t="shared" si="10"/>
        <v>0.6057314065033252</v>
      </c>
      <c r="G23" s="173">
        <f t="shared" si="11"/>
        <v>0.6043115466151764</v>
      </c>
      <c r="H23" s="174">
        <f t="shared" si="12"/>
        <v>13735.184001347414</v>
      </c>
      <c r="I23" s="174">
        <f t="shared" si="13"/>
        <v>13641.927396604533</v>
      </c>
      <c r="J23" s="174">
        <v>9509</v>
      </c>
      <c r="K23" s="174">
        <f t="shared" si="14"/>
        <v>10988.147201077933</v>
      </c>
      <c r="L23" s="174">
        <f t="shared" si="15"/>
        <v>10913.541917283626</v>
      </c>
      <c r="M23" s="208">
        <f t="shared" si="8"/>
        <v>10988</v>
      </c>
      <c r="N23" s="208">
        <f t="shared" si="9"/>
        <v>10914</v>
      </c>
      <c r="O23" s="163"/>
      <c r="P23" s="163"/>
      <c r="Q23" s="163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</row>
    <row r="24" spans="1:28" ht="15.75">
      <c r="A24" s="169" t="s">
        <v>7</v>
      </c>
      <c r="B24" s="170">
        <f>'Налог.потенц. 2023'!B23</f>
        <v>98505.16156345837</v>
      </c>
      <c r="C24" s="170">
        <f>'Налог.потенц. 2024'!B23</f>
        <v>99352.50241944128</v>
      </c>
      <c r="D24" s="171">
        <v>22833</v>
      </c>
      <c r="E24" s="172">
        <f>'Свод индексов'!E26</f>
        <v>1.1020639531756686</v>
      </c>
      <c r="F24" s="173">
        <f t="shared" si="10"/>
        <v>0.40375923945869946</v>
      </c>
      <c r="G24" s="173">
        <f t="shared" si="11"/>
        <v>0.4026320635343262</v>
      </c>
      <c r="H24" s="174">
        <f t="shared" si="12"/>
        <v>54321.003804614185</v>
      </c>
      <c r="I24" s="174">
        <f t="shared" si="13"/>
        <v>54551.30487847168</v>
      </c>
      <c r="J24" s="174">
        <v>40730</v>
      </c>
      <c r="K24" s="174">
        <f t="shared" si="14"/>
        <v>43456.803043691354</v>
      </c>
      <c r="L24" s="174">
        <f t="shared" si="15"/>
        <v>43641.04390277735</v>
      </c>
      <c r="M24" s="208">
        <f t="shared" si="8"/>
        <v>43457</v>
      </c>
      <c r="N24" s="208">
        <f t="shared" si="9"/>
        <v>43641</v>
      </c>
      <c r="O24" s="163"/>
      <c r="P24" s="163"/>
      <c r="Q24" s="163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</row>
    <row r="25" spans="1:28" ht="15.75">
      <c r="A25" s="169" t="s">
        <v>8</v>
      </c>
      <c r="B25" s="170">
        <f>'Налог.потенц. 2023'!B24</f>
        <v>1061142.993514976</v>
      </c>
      <c r="C25" s="170">
        <f>'Налог.потенц. 2024'!B24</f>
        <v>1065509.158951382</v>
      </c>
      <c r="D25" s="171">
        <v>122408</v>
      </c>
      <c r="E25" s="172">
        <f>'Свод индексов'!E27</f>
        <v>1.0856596572171016</v>
      </c>
      <c r="F25" s="173">
        <f t="shared" si="10"/>
        <v>0.8235759749188812</v>
      </c>
      <c r="G25" s="173">
        <f t="shared" si="11"/>
        <v>0.8176228233303752</v>
      </c>
      <c r="H25" s="174">
        <f t="shared" si="12"/>
        <v>0</v>
      </c>
      <c r="I25" s="174">
        <f t="shared" si="13"/>
        <v>0</v>
      </c>
      <c r="J25" s="174">
        <v>0</v>
      </c>
      <c r="K25" s="174">
        <f t="shared" si="14"/>
        <v>0</v>
      </c>
      <c r="L25" s="174">
        <f t="shared" si="15"/>
        <v>0</v>
      </c>
      <c r="M25" s="208">
        <f t="shared" si="8"/>
        <v>0</v>
      </c>
      <c r="N25" s="208">
        <f t="shared" si="9"/>
        <v>0</v>
      </c>
      <c r="O25" s="163"/>
      <c r="P25" s="163"/>
      <c r="Q25" s="163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</row>
    <row r="26" spans="1:28" ht="15.75">
      <c r="A26" s="169" t="s">
        <v>9</v>
      </c>
      <c r="B26" s="170">
        <f>'Налог.потенц. 2023'!B25</f>
        <v>49331.371894706266</v>
      </c>
      <c r="C26" s="170">
        <f>'Налог.потенц. 2024'!B25</f>
        <v>49682.08568499057</v>
      </c>
      <c r="D26" s="171">
        <v>9259</v>
      </c>
      <c r="E26" s="172">
        <f>'Свод индексов'!E28</f>
        <v>1.093783464593465</v>
      </c>
      <c r="F26" s="173">
        <f t="shared" si="10"/>
        <v>0.5024131706021093</v>
      </c>
      <c r="G26" s="173">
        <f t="shared" si="11"/>
        <v>0.5002691274850062</v>
      </c>
      <c r="H26" s="174">
        <f t="shared" si="12"/>
        <v>14942.762693975383</v>
      </c>
      <c r="I26" s="174">
        <f t="shared" si="13"/>
        <v>15029.06415970439</v>
      </c>
      <c r="J26" s="174">
        <v>12002</v>
      </c>
      <c r="K26" s="174">
        <f t="shared" si="14"/>
        <v>11954.210155180306</v>
      </c>
      <c r="L26" s="174">
        <f t="shared" si="15"/>
        <v>12023.251327763513</v>
      </c>
      <c r="M26" s="208">
        <f t="shared" si="8"/>
        <v>12002</v>
      </c>
      <c r="N26" s="208">
        <f t="shared" si="9"/>
        <v>12023</v>
      </c>
      <c r="O26" s="163"/>
      <c r="P26" s="163"/>
      <c r="Q26" s="163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</row>
    <row r="27" spans="1:28" ht="15.75">
      <c r="A27" s="169" t="s">
        <v>17</v>
      </c>
      <c r="B27" s="170">
        <f>'Налог.потенц. 2023'!B26</f>
        <v>62222.28637239319</v>
      </c>
      <c r="C27" s="170">
        <f>'Налог.потенц. 2024'!B26</f>
        <v>62502.53970853108</v>
      </c>
      <c r="D27" s="171">
        <v>11767</v>
      </c>
      <c r="E27" s="172">
        <f>'Свод индексов'!E29</f>
        <v>1.1141638433476309</v>
      </c>
      <c r="F27" s="173">
        <f t="shared" si="10"/>
        <v>0.48951320457496666</v>
      </c>
      <c r="G27" s="173">
        <f t="shared" si="11"/>
        <v>0.48616330005627295</v>
      </c>
      <c r="H27" s="174">
        <f t="shared" si="12"/>
        <v>20167.697298552026</v>
      </c>
      <c r="I27" s="174">
        <f t="shared" si="13"/>
        <v>20402.14250329524</v>
      </c>
      <c r="J27" s="174">
        <v>8983</v>
      </c>
      <c r="K27" s="174">
        <f t="shared" si="14"/>
        <v>16134.157838841622</v>
      </c>
      <c r="L27" s="174">
        <f t="shared" si="15"/>
        <v>16321.714002636192</v>
      </c>
      <c r="M27" s="208">
        <f t="shared" si="8"/>
        <v>16134</v>
      </c>
      <c r="N27" s="208">
        <f t="shared" si="9"/>
        <v>16322</v>
      </c>
      <c r="O27" s="163"/>
      <c r="P27" s="163"/>
      <c r="Q27" s="163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</row>
    <row r="28" spans="1:28" ht="15.75">
      <c r="A28" s="182" t="s">
        <v>18</v>
      </c>
      <c r="B28" s="170">
        <f>'Налог.потенц. 2023'!B27</f>
        <v>254842.37787378096</v>
      </c>
      <c r="C28" s="170">
        <f>'Налог.потенц. 2024'!B27</f>
        <v>255954.08726142434</v>
      </c>
      <c r="D28" s="171">
        <v>31171</v>
      </c>
      <c r="E28" s="172">
        <f>'Свод индексов'!E30</f>
        <v>1.0782072097993711</v>
      </c>
      <c r="F28" s="173">
        <f t="shared" si="10"/>
        <v>0.7820813727957465</v>
      </c>
      <c r="G28" s="173">
        <f t="shared" si="11"/>
        <v>0.7766197363831532</v>
      </c>
      <c r="H28" s="174">
        <f t="shared" si="12"/>
        <v>0</v>
      </c>
      <c r="I28" s="174">
        <f t="shared" si="13"/>
        <v>0</v>
      </c>
      <c r="J28" s="174">
        <v>1095</v>
      </c>
      <c r="K28" s="174">
        <f t="shared" si="14"/>
        <v>0</v>
      </c>
      <c r="L28" s="174">
        <f t="shared" si="15"/>
        <v>0</v>
      </c>
      <c r="M28" s="208">
        <f t="shared" si="8"/>
        <v>1095</v>
      </c>
      <c r="N28" s="208">
        <f t="shared" si="9"/>
        <v>0</v>
      </c>
      <c r="O28" s="163"/>
      <c r="P28" s="163"/>
      <c r="Q28" s="163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</row>
    <row r="29" spans="1:28" ht="15.75">
      <c r="A29" s="169" t="s">
        <v>19</v>
      </c>
      <c r="B29" s="170">
        <f>'Налог.потенц. 2023'!B28</f>
        <v>256331.83704854932</v>
      </c>
      <c r="C29" s="170">
        <f>'Налог.потенц. 2024'!B28</f>
        <v>258599.96020215115</v>
      </c>
      <c r="D29" s="171">
        <v>42232</v>
      </c>
      <c r="E29" s="172">
        <f>'Свод индексов'!E31</f>
        <v>1.1052348083889947</v>
      </c>
      <c r="F29" s="173">
        <f t="shared" si="10"/>
        <v>0.5664213398823423</v>
      </c>
      <c r="G29" s="173">
        <f t="shared" si="11"/>
        <v>0.564978044774404</v>
      </c>
      <c r="H29" s="174">
        <f t="shared" si="12"/>
        <v>47189.80717303689</v>
      </c>
      <c r="I29" s="174">
        <f t="shared" si="13"/>
        <v>47111.72132920032</v>
      </c>
      <c r="J29" s="174">
        <v>43986</v>
      </c>
      <c r="K29" s="174">
        <f t="shared" si="14"/>
        <v>37751.84573842951</v>
      </c>
      <c r="L29" s="174">
        <f t="shared" si="15"/>
        <v>37689.37706336026</v>
      </c>
      <c r="M29" s="208">
        <f t="shared" si="8"/>
        <v>43986</v>
      </c>
      <c r="N29" s="208">
        <f t="shared" si="9"/>
        <v>37689</v>
      </c>
      <c r="O29" s="183"/>
      <c r="P29" s="183"/>
      <c r="Q29" s="183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</row>
    <row r="30" spans="1:28" ht="15.75">
      <c r="A30" s="169" t="s">
        <v>20</v>
      </c>
      <c r="B30" s="170">
        <f>'Налог.потенц. 2023'!B29</f>
        <v>69398.4250585812</v>
      </c>
      <c r="C30" s="170">
        <f>'Налог.потенц. 2024'!B29</f>
        <v>69835.48410748936</v>
      </c>
      <c r="D30" s="171">
        <v>13649</v>
      </c>
      <c r="E30" s="172">
        <f>'Свод индексов'!E32</f>
        <v>1.0759482113370236</v>
      </c>
      <c r="F30" s="173">
        <f t="shared" si="10"/>
        <v>0.4874057778247882</v>
      </c>
      <c r="G30" s="173">
        <f t="shared" si="11"/>
        <v>0.48493470621251156</v>
      </c>
      <c r="H30" s="174">
        <f t="shared" si="12"/>
        <v>23616.400226902595</v>
      </c>
      <c r="I30" s="174">
        <f t="shared" si="13"/>
        <v>23796.78965696691</v>
      </c>
      <c r="J30" s="174">
        <v>20307</v>
      </c>
      <c r="K30" s="174">
        <f t="shared" si="14"/>
        <v>18893.120181522077</v>
      </c>
      <c r="L30" s="174">
        <f t="shared" si="15"/>
        <v>19037.43172557353</v>
      </c>
      <c r="M30" s="208">
        <f t="shared" si="8"/>
        <v>20307</v>
      </c>
      <c r="N30" s="208">
        <f t="shared" si="9"/>
        <v>19037</v>
      </c>
      <c r="O30" s="163"/>
      <c r="P30" s="163"/>
      <c r="Q30" s="163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</row>
    <row r="31" spans="1:28" ht="15.75">
      <c r="A31" s="169" t="s">
        <v>21</v>
      </c>
      <c r="B31" s="170">
        <f>'Налог.потенц. 2023'!B30</f>
        <v>142238.02296942883</v>
      </c>
      <c r="C31" s="170">
        <f>'Налог.потенц. 2024'!B30</f>
        <v>142710.14205107652</v>
      </c>
      <c r="D31" s="171">
        <v>21166</v>
      </c>
      <c r="E31" s="172">
        <f>'Свод индексов'!E33</f>
        <v>1.0949976871036564</v>
      </c>
      <c r="F31" s="173">
        <f t="shared" si="10"/>
        <v>0.63299018174984</v>
      </c>
      <c r="G31" s="173">
        <f t="shared" si="11"/>
        <v>0.627916890744728</v>
      </c>
      <c r="H31" s="174">
        <f t="shared" si="12"/>
        <v>12722.123252823634</v>
      </c>
      <c r="I31" s="174">
        <f t="shared" si="13"/>
        <v>13160.869300745702</v>
      </c>
      <c r="J31" s="174">
        <v>13071</v>
      </c>
      <c r="K31" s="174">
        <f t="shared" si="14"/>
        <v>10177.698602258908</v>
      </c>
      <c r="L31" s="174">
        <f t="shared" si="15"/>
        <v>10528.695440596563</v>
      </c>
      <c r="M31" s="208">
        <f t="shared" si="8"/>
        <v>13071</v>
      </c>
      <c r="N31" s="208">
        <f t="shared" si="9"/>
        <v>10529</v>
      </c>
      <c r="O31" s="163"/>
      <c r="P31" s="163"/>
      <c r="Q31" s="163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</row>
    <row r="32" spans="1:28" ht="15.75">
      <c r="A32" s="169" t="s">
        <v>22</v>
      </c>
      <c r="B32" s="170">
        <f>'Налог.потенц. 2023'!B31</f>
        <v>110775.35888967001</v>
      </c>
      <c r="C32" s="170">
        <f>'Налог.потенц. 2024'!B31</f>
        <v>111428.3378165824</v>
      </c>
      <c r="D32" s="171">
        <v>16257</v>
      </c>
      <c r="E32" s="172">
        <f>'Свод индексов'!E34</f>
        <v>1.112304077234227</v>
      </c>
      <c r="F32" s="173">
        <f t="shared" si="10"/>
        <v>0.6318478194178924</v>
      </c>
      <c r="G32" s="173">
        <f t="shared" si="11"/>
        <v>0.6283925652036175</v>
      </c>
      <c r="H32" s="174">
        <f t="shared" si="12"/>
        <v>9915.545402099424</v>
      </c>
      <c r="I32" s="174">
        <f t="shared" si="13"/>
        <v>10047.822396346084</v>
      </c>
      <c r="J32" s="174">
        <v>8514</v>
      </c>
      <c r="K32" s="174">
        <f t="shared" si="14"/>
        <v>7932.436321679539</v>
      </c>
      <c r="L32" s="174">
        <f t="shared" si="15"/>
        <v>8038.257917076868</v>
      </c>
      <c r="M32" s="208">
        <f t="shared" si="8"/>
        <v>8514</v>
      </c>
      <c r="N32" s="208">
        <f t="shared" si="9"/>
        <v>8038</v>
      </c>
      <c r="O32" s="163"/>
      <c r="P32" s="163"/>
      <c r="Q32" s="163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</row>
    <row r="33" spans="1:28" ht="15.75">
      <c r="A33" s="169" t="s">
        <v>23</v>
      </c>
      <c r="B33" s="170">
        <f>'Налог.потенц. 2023'!B32</f>
        <v>522477.71370497</v>
      </c>
      <c r="C33" s="170">
        <f>'Налог.потенц. 2024'!B32</f>
        <v>527076.9319156379</v>
      </c>
      <c r="D33" s="171">
        <v>57338</v>
      </c>
      <c r="E33" s="172">
        <f>'Свод индексов'!E35</f>
        <v>1.098819720572489</v>
      </c>
      <c r="F33" s="173">
        <f t="shared" si="10"/>
        <v>0.8553267312523918</v>
      </c>
      <c r="G33" s="173">
        <f t="shared" si="11"/>
        <v>0.8531086483847419</v>
      </c>
      <c r="H33" s="174">
        <f t="shared" si="12"/>
        <v>0</v>
      </c>
      <c r="I33" s="174">
        <f t="shared" si="13"/>
        <v>0</v>
      </c>
      <c r="J33" s="174">
        <v>0</v>
      </c>
      <c r="K33" s="174">
        <f t="shared" si="14"/>
        <v>0</v>
      </c>
      <c r="L33" s="174">
        <f t="shared" si="15"/>
        <v>0</v>
      </c>
      <c r="M33" s="208">
        <f t="shared" si="8"/>
        <v>0</v>
      </c>
      <c r="N33" s="208">
        <f t="shared" si="9"/>
        <v>0</v>
      </c>
      <c r="O33" s="163"/>
      <c r="P33" s="163"/>
      <c r="Q33" s="163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</row>
    <row r="34" spans="1:28" ht="15.75">
      <c r="A34" s="169" t="s">
        <v>24</v>
      </c>
      <c r="B34" s="170">
        <f>'Налог.потенц. 2023'!B33</f>
        <v>41033.809825829194</v>
      </c>
      <c r="C34" s="170">
        <f>'Налог.потенц. 2024'!B33</f>
        <v>41298.859134824386</v>
      </c>
      <c r="D34" s="171">
        <v>10113</v>
      </c>
      <c r="E34" s="172">
        <f>'Свод индексов'!E36</f>
        <v>1.1027339203832016</v>
      </c>
      <c r="F34" s="173">
        <f t="shared" si="10"/>
        <v>0.3795109931977372</v>
      </c>
      <c r="G34" s="173">
        <f t="shared" si="11"/>
        <v>0.3776475176680248</v>
      </c>
      <c r="H34" s="174">
        <f t="shared" si="12"/>
        <v>25961.430079657617</v>
      </c>
      <c r="I34" s="174">
        <f t="shared" si="13"/>
        <v>26143.580015458447</v>
      </c>
      <c r="J34" s="174">
        <v>20964</v>
      </c>
      <c r="K34" s="174">
        <f t="shared" si="14"/>
        <v>20769.144063726097</v>
      </c>
      <c r="L34" s="174">
        <f t="shared" si="15"/>
        <v>20914.864012366757</v>
      </c>
      <c r="M34" s="208">
        <f t="shared" si="8"/>
        <v>20964</v>
      </c>
      <c r="N34" s="208">
        <f t="shared" si="9"/>
        <v>20915</v>
      </c>
      <c r="O34" s="163"/>
      <c r="P34" s="163"/>
      <c r="Q34" s="163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</row>
    <row r="35" spans="1:28" ht="15.75">
      <c r="A35" s="169" t="s">
        <v>25</v>
      </c>
      <c r="B35" s="170">
        <f>'Налог.потенц. 2023'!B34</f>
        <v>233094.2675648666</v>
      </c>
      <c r="C35" s="170">
        <f>'Налог.потенц. 2024'!B34</f>
        <v>235030.8521564462</v>
      </c>
      <c r="D35" s="171">
        <v>32813</v>
      </c>
      <c r="E35" s="172">
        <f>'Свод индексов'!E37</f>
        <v>1.0846099939210734</v>
      </c>
      <c r="F35" s="173">
        <f t="shared" si="10"/>
        <v>0.6755310458313417</v>
      </c>
      <c r="G35" s="173">
        <f t="shared" si="11"/>
        <v>0.6734489120409639</v>
      </c>
      <c r="H35" s="174">
        <f t="shared" si="12"/>
        <v>8895.696278248732</v>
      </c>
      <c r="I35" s="174">
        <f t="shared" si="13"/>
        <v>8682.192039897409</v>
      </c>
      <c r="J35" s="174">
        <v>19357</v>
      </c>
      <c r="K35" s="174">
        <f t="shared" si="14"/>
        <v>7116.557022598986</v>
      </c>
      <c r="L35" s="174">
        <f t="shared" si="15"/>
        <v>6945.753631917927</v>
      </c>
      <c r="M35" s="208">
        <f t="shared" si="8"/>
        <v>19357</v>
      </c>
      <c r="N35" s="208">
        <f t="shared" si="9"/>
        <v>6946</v>
      </c>
      <c r="O35" s="163"/>
      <c r="P35" s="163"/>
      <c r="Q35" s="163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</row>
    <row r="36" spans="1:28" ht="15.75">
      <c r="A36" s="169" t="s">
        <v>26</v>
      </c>
      <c r="B36" s="170">
        <f>'Налог.потенц. 2023'!B35</f>
        <v>150484.54344241405</v>
      </c>
      <c r="C36" s="170">
        <f>'Налог.потенц. 2024'!B35</f>
        <v>151130.60113308983</v>
      </c>
      <c r="D36" s="171">
        <v>15832</v>
      </c>
      <c r="E36" s="172">
        <f>'Свод индексов'!E38</f>
        <v>1.0885719936162286</v>
      </c>
      <c r="F36" s="173">
        <f t="shared" si="10"/>
        <v>0.9006005694569357</v>
      </c>
      <c r="G36" s="173">
        <f t="shared" si="11"/>
        <v>0.8942496783849971</v>
      </c>
      <c r="H36" s="174">
        <f t="shared" si="12"/>
        <v>0</v>
      </c>
      <c r="I36" s="174">
        <f t="shared" si="13"/>
        <v>0</v>
      </c>
      <c r="J36" s="174">
        <v>3330</v>
      </c>
      <c r="K36" s="174">
        <f t="shared" si="14"/>
        <v>0</v>
      </c>
      <c r="L36" s="174">
        <f t="shared" si="15"/>
        <v>0</v>
      </c>
      <c r="M36" s="208">
        <f t="shared" si="8"/>
        <v>3330</v>
      </c>
      <c r="N36" s="208">
        <f t="shared" si="9"/>
        <v>0</v>
      </c>
      <c r="O36" s="163"/>
      <c r="P36" s="163"/>
      <c r="Q36" s="163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</row>
    <row r="37" spans="1:28" ht="15.75">
      <c r="A37" s="169" t="s">
        <v>27</v>
      </c>
      <c r="B37" s="170">
        <f>'Налог.потенц. 2023'!B36</f>
        <v>97792.92977258087</v>
      </c>
      <c r="C37" s="170">
        <f>'Налог.потенц. 2024'!B36</f>
        <v>98297.4992405182</v>
      </c>
      <c r="D37" s="171">
        <v>26071</v>
      </c>
      <c r="E37" s="172">
        <f>'Свод индексов'!E39</f>
        <v>1.0902885137014955</v>
      </c>
      <c r="F37" s="173">
        <f t="shared" si="10"/>
        <v>0.35484737029962704</v>
      </c>
      <c r="G37" s="173">
        <f t="shared" si="11"/>
        <v>0.3526490056266908</v>
      </c>
      <c r="H37" s="174">
        <f t="shared" si="12"/>
        <v>71915.12721237597</v>
      </c>
      <c r="I37" s="174">
        <f t="shared" si="13"/>
        <v>72510.18122911282</v>
      </c>
      <c r="J37" s="174">
        <v>53504</v>
      </c>
      <c r="K37" s="174">
        <f t="shared" si="14"/>
        <v>57532.10176990078</v>
      </c>
      <c r="L37" s="174">
        <f t="shared" si="15"/>
        <v>58008.14498329026</v>
      </c>
      <c r="M37" s="208">
        <f t="shared" si="8"/>
        <v>57532</v>
      </c>
      <c r="N37" s="208">
        <f t="shared" si="9"/>
        <v>58008</v>
      </c>
      <c r="O37" s="163"/>
      <c r="P37" s="163"/>
      <c r="Q37" s="163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</row>
    <row r="38" spans="1:28" ht="15.75">
      <c r="A38" s="169" t="s">
        <v>28</v>
      </c>
      <c r="B38" s="170">
        <f>'Налог.потенц. 2023'!B37</f>
        <v>114528.6893219765</v>
      </c>
      <c r="C38" s="170">
        <f>'Налог.потенц. 2024'!B37</f>
        <v>115570.95942147558</v>
      </c>
      <c r="D38" s="171">
        <v>22454</v>
      </c>
      <c r="E38" s="172">
        <f>'Свод индексов'!E40</f>
        <v>1.094994161963129</v>
      </c>
      <c r="F38" s="173">
        <f t="shared" si="10"/>
        <v>0.4804431755218672</v>
      </c>
      <c r="G38" s="173">
        <f t="shared" si="11"/>
        <v>0.47933872614120115</v>
      </c>
      <c r="H38" s="174">
        <f t="shared" si="12"/>
        <v>40064.0045768233</v>
      </c>
      <c r="I38" s="174">
        <f t="shared" si="13"/>
        <v>40133.88697557186</v>
      </c>
      <c r="J38" s="174">
        <v>35381</v>
      </c>
      <c r="K38" s="174">
        <f t="shared" si="14"/>
        <v>32051.203661458643</v>
      </c>
      <c r="L38" s="174">
        <f t="shared" si="15"/>
        <v>32107.10958045749</v>
      </c>
      <c r="M38" s="208">
        <f t="shared" si="8"/>
        <v>35381</v>
      </c>
      <c r="N38" s="208">
        <f t="shared" si="9"/>
        <v>32107</v>
      </c>
      <c r="O38" s="163"/>
      <c r="P38" s="163"/>
      <c r="Q38" s="163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</row>
    <row r="39" spans="1:28" ht="15.75">
      <c r="A39" s="169" t="s">
        <v>29</v>
      </c>
      <c r="B39" s="170">
        <f>'Налог.потенц. 2023'!B38</f>
        <v>362149.69652729004</v>
      </c>
      <c r="C39" s="170">
        <f>'Налог.потенц. 2024'!B38</f>
        <v>364292.5566512983</v>
      </c>
      <c r="D39" s="171">
        <v>44040</v>
      </c>
      <c r="E39" s="172">
        <f>'Свод индексов'!E41</f>
        <v>1.0971947797022648</v>
      </c>
      <c r="F39" s="173">
        <f t="shared" si="10"/>
        <v>0.7730193102786689</v>
      </c>
      <c r="G39" s="173">
        <f t="shared" si="11"/>
        <v>0.7688092068055261</v>
      </c>
      <c r="H39" s="174">
        <f t="shared" si="12"/>
        <v>0</v>
      </c>
      <c r="I39" s="174">
        <f t="shared" si="13"/>
        <v>0</v>
      </c>
      <c r="J39" s="174">
        <v>0</v>
      </c>
      <c r="K39" s="174">
        <f t="shared" si="14"/>
        <v>0</v>
      </c>
      <c r="L39" s="174">
        <f t="shared" si="15"/>
        <v>0</v>
      </c>
      <c r="M39" s="208">
        <f t="shared" si="8"/>
        <v>0</v>
      </c>
      <c r="N39" s="208">
        <f t="shared" si="9"/>
        <v>0</v>
      </c>
      <c r="O39" s="163"/>
      <c r="P39" s="163"/>
      <c r="Q39" s="163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</row>
    <row r="40" spans="1:28" ht="15.75">
      <c r="A40" s="169" t="s">
        <v>30</v>
      </c>
      <c r="B40" s="170">
        <f>'Налог.потенц. 2023'!B39</f>
        <v>716087.4348687978</v>
      </c>
      <c r="C40" s="170">
        <f>'Налог.потенц. 2024'!B39</f>
        <v>722551.4156622293</v>
      </c>
      <c r="D40" s="171">
        <v>79059</v>
      </c>
      <c r="E40" s="172">
        <f>'Свод индексов'!E42</f>
        <v>1.0938583398214037</v>
      </c>
      <c r="F40" s="173">
        <f t="shared" si="10"/>
        <v>0.8540571136774587</v>
      </c>
      <c r="G40" s="173">
        <f t="shared" si="11"/>
        <v>0.852031552709033</v>
      </c>
      <c r="H40" s="174">
        <f t="shared" si="12"/>
        <v>0</v>
      </c>
      <c r="I40" s="174">
        <f t="shared" si="13"/>
        <v>0</v>
      </c>
      <c r="J40" s="174">
        <v>0</v>
      </c>
      <c r="K40" s="174">
        <f t="shared" si="14"/>
        <v>0</v>
      </c>
      <c r="L40" s="174">
        <f t="shared" si="15"/>
        <v>0</v>
      </c>
      <c r="M40" s="208">
        <f t="shared" si="8"/>
        <v>0</v>
      </c>
      <c r="N40" s="208">
        <f t="shared" si="9"/>
        <v>0</v>
      </c>
      <c r="O40" s="163"/>
      <c r="P40" s="163"/>
      <c r="Q40" s="163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</row>
    <row r="41" spans="1:28" ht="15.75">
      <c r="A41" s="169" t="s">
        <v>31</v>
      </c>
      <c r="B41" s="170">
        <f>'Налог.потенц. 2023'!B40</f>
        <v>150554.49478068232</v>
      </c>
      <c r="C41" s="170">
        <f>'Налог.потенц. 2024'!B40</f>
        <v>151986.73683010283</v>
      </c>
      <c r="D41" s="171">
        <v>23343</v>
      </c>
      <c r="E41" s="172">
        <f>'Свод индексов'!E43</f>
        <v>1.0965290549000881</v>
      </c>
      <c r="F41" s="173">
        <f t="shared" si="10"/>
        <v>0.6066667211343577</v>
      </c>
      <c r="G41" s="173">
        <f t="shared" si="11"/>
        <v>0.6055195894564394</v>
      </c>
      <c r="H41" s="174">
        <f t="shared" si="12"/>
        <v>18796.66555347513</v>
      </c>
      <c r="I41" s="174">
        <f t="shared" si="13"/>
        <v>18616.015475597025</v>
      </c>
      <c r="J41" s="174">
        <v>25558</v>
      </c>
      <c r="K41" s="174">
        <f t="shared" si="14"/>
        <v>15037.332442780105</v>
      </c>
      <c r="L41" s="174">
        <f t="shared" si="15"/>
        <v>14892.81238047762</v>
      </c>
      <c r="M41" s="208">
        <f t="shared" si="8"/>
        <v>25558</v>
      </c>
      <c r="N41" s="208">
        <f t="shared" si="9"/>
        <v>14893</v>
      </c>
      <c r="O41" s="163"/>
      <c r="P41" s="161"/>
      <c r="Q41" s="161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</row>
    <row r="42" spans="1:28" ht="15.75">
      <c r="A42" s="169" t="s">
        <v>32</v>
      </c>
      <c r="B42" s="170">
        <f>'Налог.потенц. 2023'!B41</f>
        <v>75426.28380724251</v>
      </c>
      <c r="C42" s="170">
        <f>'Налог.потенц. 2024'!B41</f>
        <v>75937.54758563821</v>
      </c>
      <c r="D42" s="171">
        <v>15890</v>
      </c>
      <c r="E42" s="172">
        <f>'Свод индексов'!E44</f>
        <v>1.0944902496825406</v>
      </c>
      <c r="F42" s="173">
        <f t="shared" si="10"/>
        <v>0.4473219164791604</v>
      </c>
      <c r="G42" s="173">
        <f t="shared" si="11"/>
        <v>0.4452665739942749</v>
      </c>
      <c r="H42" s="174">
        <f t="shared" si="12"/>
        <v>32434.190466677777</v>
      </c>
      <c r="I42" s="174">
        <f t="shared" si="13"/>
        <v>32648.819810813817</v>
      </c>
      <c r="J42" s="174">
        <v>25606</v>
      </c>
      <c r="K42" s="174">
        <f t="shared" si="14"/>
        <v>25947.352373342223</v>
      </c>
      <c r="L42" s="174">
        <f t="shared" si="15"/>
        <v>26119.055848651056</v>
      </c>
      <c r="M42" s="208">
        <f t="shared" si="8"/>
        <v>25947</v>
      </c>
      <c r="N42" s="208">
        <f t="shared" si="9"/>
        <v>26119</v>
      </c>
      <c r="O42" s="163"/>
      <c r="P42" s="161"/>
      <c r="Q42" s="161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</row>
    <row r="43" spans="1:28" ht="15.75">
      <c r="A43" s="169" t="s">
        <v>33</v>
      </c>
      <c r="B43" s="170">
        <f>'Налог.потенц. 2023'!B42</f>
        <v>62813.97248567866</v>
      </c>
      <c r="C43" s="170">
        <f>'Налог.потенц. 2024'!B42</f>
        <v>63260.5624172733</v>
      </c>
      <c r="D43" s="171">
        <v>13891</v>
      </c>
      <c r="E43" s="172">
        <f>'Свод индексов'!E45</f>
        <v>1.0870527875690112</v>
      </c>
      <c r="F43" s="173">
        <f t="shared" si="10"/>
        <v>0.4290474990495085</v>
      </c>
      <c r="G43" s="173">
        <f t="shared" si="11"/>
        <v>0.427216703036578</v>
      </c>
      <c r="H43" s="174">
        <f t="shared" si="12"/>
        <v>30322.837622171384</v>
      </c>
      <c r="I43" s="174">
        <f t="shared" si="13"/>
        <v>30508.492659038966</v>
      </c>
      <c r="J43" s="174">
        <v>22096</v>
      </c>
      <c r="K43" s="174">
        <f t="shared" si="14"/>
        <v>24258.27009773711</v>
      </c>
      <c r="L43" s="174">
        <f t="shared" si="15"/>
        <v>24406.794127231173</v>
      </c>
      <c r="M43" s="208">
        <f t="shared" si="8"/>
        <v>24258</v>
      </c>
      <c r="N43" s="208">
        <f t="shared" si="9"/>
        <v>24407</v>
      </c>
      <c r="O43" s="163"/>
      <c r="P43" s="161"/>
      <c r="Q43" s="161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</row>
    <row r="44" spans="1:28" ht="15.75">
      <c r="A44" s="169" t="s">
        <v>34</v>
      </c>
      <c r="B44" s="170">
        <f>'Налог.потенц. 2023'!B43</f>
        <v>67464.87898185979</v>
      </c>
      <c r="C44" s="170">
        <f>'Налог.потенц. 2024'!B43</f>
        <v>67894.67640586397</v>
      </c>
      <c r="D44" s="171">
        <v>14633</v>
      </c>
      <c r="E44" s="172">
        <f>'Свод индексов'!E46</f>
        <v>1.0879956363390442</v>
      </c>
      <c r="F44" s="173">
        <f t="shared" si="10"/>
        <v>0.4370694783970634</v>
      </c>
      <c r="G44" s="173">
        <f t="shared" si="11"/>
        <v>0.43488508925771446</v>
      </c>
      <c r="H44" s="174">
        <f t="shared" si="12"/>
        <v>31032.07612592467</v>
      </c>
      <c r="I44" s="174">
        <f t="shared" si="13"/>
        <v>31257.836108056217</v>
      </c>
      <c r="J44" s="174">
        <v>21811</v>
      </c>
      <c r="K44" s="174">
        <f t="shared" si="14"/>
        <v>24825.660900739735</v>
      </c>
      <c r="L44" s="174">
        <f t="shared" si="15"/>
        <v>25006.268886444974</v>
      </c>
      <c r="M44" s="208">
        <f>IF(ROUND(H44*0.8,0)&lt;J44,J44,ROUND(H44*0.8,0))</f>
        <v>24826</v>
      </c>
      <c r="N44" s="208">
        <f t="shared" si="9"/>
        <v>25006</v>
      </c>
      <c r="O44" s="163"/>
      <c r="P44" s="161"/>
      <c r="Q44" s="161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</row>
    <row r="45" spans="1:28" ht="15.75">
      <c r="A45" s="169" t="s">
        <v>10</v>
      </c>
      <c r="B45" s="170">
        <f>'Налог.потенц. 2023'!B44</f>
        <v>119572.4796700305</v>
      </c>
      <c r="C45" s="170">
        <f>'Налог.потенц. 2024'!B44</f>
        <v>120526.36217890147</v>
      </c>
      <c r="D45" s="171">
        <v>18628</v>
      </c>
      <c r="E45" s="172">
        <f>'Свод индексов'!E47</f>
        <v>1.0810431009263897</v>
      </c>
      <c r="F45" s="173">
        <f t="shared" si="10"/>
        <v>0.6124283085293698</v>
      </c>
      <c r="G45" s="173">
        <f t="shared" si="11"/>
        <v>0.6103404176827302</v>
      </c>
      <c r="H45" s="174">
        <f t="shared" si="12"/>
        <v>14167.506083466698</v>
      </c>
      <c r="I45" s="174">
        <f t="shared" si="13"/>
        <v>14151.312400103467</v>
      </c>
      <c r="J45" s="174">
        <v>26319</v>
      </c>
      <c r="K45" s="174">
        <f t="shared" si="14"/>
        <v>11334.004866773359</v>
      </c>
      <c r="L45" s="174">
        <f t="shared" si="15"/>
        <v>11321.049920082774</v>
      </c>
      <c r="M45" s="208">
        <f>IF(ROUND(H45*0.8,0)&lt;J45,J45,ROUND(H45*0.8,0))</f>
        <v>26319</v>
      </c>
      <c r="N45" s="208">
        <f t="shared" si="9"/>
        <v>11321</v>
      </c>
      <c r="O45" s="163"/>
      <c r="P45" s="161"/>
      <c r="Q45" s="161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</row>
    <row r="46" spans="1:28" ht="15.75">
      <c r="A46" s="166"/>
      <c r="B46" s="176"/>
      <c r="C46" s="176"/>
      <c r="D46" s="184"/>
      <c r="E46" s="178"/>
      <c r="F46" s="179"/>
      <c r="G46" s="179"/>
      <c r="H46" s="180"/>
      <c r="I46" s="180"/>
      <c r="J46" s="180"/>
      <c r="K46" s="180"/>
      <c r="L46" s="180"/>
      <c r="M46" s="180"/>
      <c r="N46" s="181"/>
      <c r="O46" s="163"/>
      <c r="P46" s="161"/>
      <c r="Q46" s="161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</row>
    <row r="47" spans="1:28" ht="15.75">
      <c r="A47" s="185" t="s">
        <v>174</v>
      </c>
      <c r="B47" s="186"/>
      <c r="C47" s="186"/>
      <c r="D47" s="187"/>
      <c r="E47" s="188"/>
      <c r="F47" s="189"/>
      <c r="G47" s="189"/>
      <c r="H47" s="190"/>
      <c r="I47" s="190"/>
      <c r="J47" s="190"/>
      <c r="K47" s="191">
        <f>H49-SUM(K8:K45)</f>
        <v>171940.1999999995</v>
      </c>
      <c r="L47" s="191">
        <f>I49-SUM(L8:L45)</f>
        <v>171940.19999999995</v>
      </c>
      <c r="M47" s="191">
        <f>H49-SUM(M8:M45)</f>
        <v>90182.99999999977</v>
      </c>
      <c r="N47" s="192">
        <f>I49-SUM(N8:N45)</f>
        <v>171939.99999999988</v>
      </c>
      <c r="O47" s="163"/>
      <c r="P47" s="161"/>
      <c r="Q47" s="161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</row>
    <row r="48" spans="1:28" ht="15.75">
      <c r="A48" s="166"/>
      <c r="B48" s="167"/>
      <c r="C48" s="167"/>
      <c r="D48" s="193"/>
      <c r="E48" s="194"/>
      <c r="F48" s="195"/>
      <c r="G48" s="195"/>
      <c r="H48" s="195"/>
      <c r="I48" s="195"/>
      <c r="J48" s="195"/>
      <c r="K48" s="195"/>
      <c r="L48" s="195"/>
      <c r="M48" s="167"/>
      <c r="N48" s="168"/>
      <c r="O48" s="163"/>
      <c r="P48" s="161"/>
      <c r="Q48" s="161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</row>
    <row r="49" spans="1:28" ht="15.75">
      <c r="A49" s="196" t="s">
        <v>35</v>
      </c>
      <c r="B49" s="197">
        <f>SUM(B8:B48)</f>
        <v>30580952.657683264</v>
      </c>
      <c r="C49" s="197">
        <f>SUM(C8:C48)</f>
        <v>30930358.22085595</v>
      </c>
      <c r="D49" s="197">
        <f>SUM(D8:D45)</f>
        <v>3154164</v>
      </c>
      <c r="E49" s="197"/>
      <c r="F49" s="198">
        <f>B49/D49</f>
        <v>9.695422513757453</v>
      </c>
      <c r="G49" s="198">
        <f>C49/D49</f>
        <v>9.806198479488051</v>
      </c>
      <c r="H49" s="197">
        <f>SUM(H8:H45)</f>
        <v>859700.9999999998</v>
      </c>
      <c r="I49" s="197">
        <f>SUM(I8:I45)</f>
        <v>859700.9999999999</v>
      </c>
      <c r="J49" s="197">
        <f>SUM(J8:J45)</f>
        <v>687450</v>
      </c>
      <c r="K49" s="8">
        <f>SUM(K8:K47)</f>
        <v>859700.9999999998</v>
      </c>
      <c r="L49" s="8">
        <f>SUM(L8:L47)</f>
        <v>859700.9999999999</v>
      </c>
      <c r="M49" s="197">
        <f>SUM(M8:M47)</f>
        <v>859700.9999999998</v>
      </c>
      <c r="N49" s="197">
        <f>SUM(N8:N47)</f>
        <v>859700.9999999999</v>
      </c>
      <c r="O49" s="163"/>
      <c r="P49" s="161"/>
      <c r="Q49" s="161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</row>
    <row r="50" spans="16:19" ht="15.75">
      <c r="P50" s="161"/>
      <c r="Q50" s="161"/>
      <c r="R50" s="161"/>
      <c r="S50" s="161"/>
    </row>
    <row r="51" spans="16:19" ht="15.75">
      <c r="P51" s="161"/>
      <c r="Q51" s="161"/>
      <c r="R51" s="161"/>
      <c r="S51" s="161"/>
    </row>
    <row r="52" spans="16:19" ht="15.75">
      <c r="P52" s="161"/>
      <c r="Q52" s="161"/>
      <c r="R52" s="161"/>
      <c r="S52" s="161"/>
    </row>
    <row r="53" spans="16:19" ht="15.75">
      <c r="P53" s="161"/>
      <c r="Q53" s="161"/>
      <c r="R53" s="161"/>
      <c r="S53" s="161"/>
    </row>
  </sheetData>
  <sheetProtection/>
  <mergeCells count="13">
    <mergeCell ref="F4:F5"/>
    <mergeCell ref="G4:G5"/>
    <mergeCell ref="H4:H5"/>
    <mergeCell ref="I4:I5"/>
    <mergeCell ref="K4:L4"/>
    <mergeCell ref="J4:J5"/>
    <mergeCell ref="M4:N4"/>
    <mergeCell ref="A2:N2"/>
    <mergeCell ref="A4:A5"/>
    <mergeCell ref="B4:B5"/>
    <mergeCell ref="C4:C5"/>
    <mergeCell ref="D4:D5"/>
    <mergeCell ref="E4:E5"/>
  </mergeCells>
  <conditionalFormatting sqref="M8:M47 K47:L47">
    <cfRule type="expression" priority="2" dxfId="3">
      <formula>$J8=$M8</formula>
    </cfRule>
  </conditionalFormatting>
  <conditionalFormatting sqref="N47">
    <cfRule type="expression" priority="1" dxfId="3">
      <formula>$J47=$M47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rgb="FF003300"/>
    <pageSetUpPr fitToPage="1"/>
  </sheetPr>
  <dimension ref="A1:T55"/>
  <sheetViews>
    <sheetView view="pageBreakPreview" zoomScale="80" zoomScaleNormal="80" zoomScaleSheetLayoutView="80" zoomScalePageLayoutView="0" workbookViewId="0" topLeftCell="A1">
      <selection activeCell="A1" sqref="A1:J1"/>
    </sheetView>
  </sheetViews>
  <sheetFormatPr defaultColWidth="9.00390625" defaultRowHeight="12.75"/>
  <cols>
    <col min="1" max="1" width="25.625" style="22" customWidth="1"/>
    <col min="2" max="2" width="16.375" style="22" customWidth="1"/>
    <col min="3" max="3" width="20.00390625" style="22" customWidth="1"/>
    <col min="4" max="4" width="21.625" style="22" customWidth="1"/>
    <col min="5" max="5" width="15.00390625" style="22" customWidth="1"/>
    <col min="6" max="6" width="13.125" style="22" customWidth="1"/>
    <col min="7" max="7" width="32.875" style="22" customWidth="1"/>
    <col min="8" max="8" width="21.625" style="22" customWidth="1"/>
    <col min="9" max="9" width="33.75390625" style="22" customWidth="1"/>
    <col min="10" max="10" width="25.75390625" style="22" customWidth="1"/>
    <col min="11" max="11" width="16.25390625" style="22" bestFit="1" customWidth="1"/>
    <col min="12" max="12" width="15.00390625" style="22" bestFit="1" customWidth="1"/>
    <col min="13" max="13" width="41.625" style="28" customWidth="1"/>
    <col min="14" max="15" width="13.75390625" style="28" bestFit="1" customWidth="1"/>
    <col min="16" max="16" width="16.125" style="28" bestFit="1" customWidth="1"/>
    <col min="17" max="17" width="9.125" style="28" customWidth="1"/>
    <col min="18" max="18" width="16.125" style="22" bestFit="1" customWidth="1"/>
    <col min="19" max="19" width="9.625" style="22" bestFit="1" customWidth="1"/>
    <col min="20" max="16384" width="9.125" style="22" customWidth="1"/>
  </cols>
  <sheetData>
    <row r="1" spans="1:17" s="27" customFormat="1" ht="15" customHeight="1">
      <c r="A1" s="230" t="s">
        <v>187</v>
      </c>
      <c r="B1" s="230"/>
      <c r="C1" s="230"/>
      <c r="D1" s="230"/>
      <c r="E1" s="230"/>
      <c r="F1" s="230"/>
      <c r="G1" s="230"/>
      <c r="H1" s="230"/>
      <c r="I1" s="230"/>
      <c r="J1" s="230"/>
      <c r="M1" s="28"/>
      <c r="N1" s="28"/>
      <c r="O1" s="28"/>
      <c r="P1" s="28"/>
      <c r="Q1" s="28"/>
    </row>
    <row r="2" spans="1:17" s="27" customFormat="1" ht="22.5" customHeight="1">
      <c r="A2" s="229" t="s">
        <v>165</v>
      </c>
      <c r="B2" s="229"/>
      <c r="C2" s="229"/>
      <c r="D2" s="229"/>
      <c r="E2" s="229"/>
      <c r="F2" s="229"/>
      <c r="G2" s="229"/>
      <c r="H2" s="229"/>
      <c r="I2" s="229"/>
      <c r="J2" s="229"/>
      <c r="M2" s="28"/>
      <c r="N2" s="28"/>
      <c r="O2" s="28"/>
      <c r="P2" s="28"/>
      <c r="Q2" s="28"/>
    </row>
    <row r="3" spans="1:17" s="27" customFormat="1" ht="15.75">
      <c r="A3" s="136"/>
      <c r="B3" s="136"/>
      <c r="C3" s="136"/>
      <c r="D3" s="136"/>
      <c r="E3" s="136"/>
      <c r="F3" s="136"/>
      <c r="G3" s="136"/>
      <c r="H3" s="136"/>
      <c r="I3" s="136"/>
      <c r="J3" s="136"/>
      <c r="M3" s="28"/>
      <c r="N3" s="28"/>
      <c r="O3" s="28"/>
      <c r="P3" s="28"/>
      <c r="Q3" s="28"/>
    </row>
    <row r="4" spans="1:12" s="28" customFormat="1" ht="69" customHeight="1">
      <c r="A4" s="33" t="s">
        <v>115</v>
      </c>
      <c r="B4" s="235" t="s">
        <v>59</v>
      </c>
      <c r="C4" s="236"/>
      <c r="D4" s="237"/>
      <c r="E4" s="32" t="s">
        <v>58</v>
      </c>
      <c r="F4" s="33" t="s">
        <v>113</v>
      </c>
      <c r="G4" s="32" t="s">
        <v>92</v>
      </c>
      <c r="H4" s="31" t="s">
        <v>57</v>
      </c>
      <c r="I4" s="32" t="s">
        <v>114</v>
      </c>
      <c r="J4" s="32" t="s">
        <v>124</v>
      </c>
      <c r="K4" s="27"/>
      <c r="L4" s="27"/>
    </row>
    <row r="5" spans="1:12" s="28" customFormat="1" ht="15.75" customHeight="1">
      <c r="A5" s="225" t="s">
        <v>49</v>
      </c>
      <c r="B5" s="231" t="s">
        <v>119</v>
      </c>
      <c r="C5" s="238" t="s">
        <v>118</v>
      </c>
      <c r="D5" s="239"/>
      <c r="E5" s="231" t="s">
        <v>159</v>
      </c>
      <c r="F5" s="233" t="s">
        <v>160</v>
      </c>
      <c r="G5" s="233" t="s">
        <v>163</v>
      </c>
      <c r="H5" s="231" t="s">
        <v>161</v>
      </c>
      <c r="I5" s="227" t="s">
        <v>164</v>
      </c>
      <c r="J5" s="227" t="s">
        <v>129</v>
      </c>
      <c r="K5" s="27"/>
      <c r="L5" s="27"/>
    </row>
    <row r="6" spans="1:11" s="28" customFormat="1" ht="164.25" customHeight="1">
      <c r="A6" s="226"/>
      <c r="B6" s="232"/>
      <c r="C6" s="108" t="s">
        <v>157</v>
      </c>
      <c r="D6" s="108" t="s">
        <v>158</v>
      </c>
      <c r="E6" s="232"/>
      <c r="F6" s="234"/>
      <c r="G6" s="234"/>
      <c r="H6" s="232"/>
      <c r="I6" s="228"/>
      <c r="J6" s="228"/>
      <c r="K6" s="27"/>
    </row>
    <row r="7" spans="1:11" s="28" customFormat="1" ht="15.75">
      <c r="A7" s="29" t="s">
        <v>38</v>
      </c>
      <c r="B7" s="30" t="s">
        <v>125</v>
      </c>
      <c r="C7" s="30" t="s">
        <v>40</v>
      </c>
      <c r="D7" s="29" t="s">
        <v>41</v>
      </c>
      <c r="E7" s="29" t="s">
        <v>42</v>
      </c>
      <c r="F7" s="29" t="s">
        <v>46</v>
      </c>
      <c r="G7" s="29" t="s">
        <v>43</v>
      </c>
      <c r="H7" s="29" t="s">
        <v>45</v>
      </c>
      <c r="I7" s="29" t="s">
        <v>51</v>
      </c>
      <c r="J7" s="29" t="s">
        <v>52</v>
      </c>
      <c r="K7" s="27"/>
    </row>
    <row r="8" spans="1:17" s="27" customFormat="1" ht="15.75">
      <c r="A8" s="14" t="s">
        <v>116</v>
      </c>
      <c r="B8" s="69"/>
      <c r="C8" s="69"/>
      <c r="D8" s="69"/>
      <c r="E8" s="70"/>
      <c r="F8" s="71"/>
      <c r="G8" s="72"/>
      <c r="H8" s="72"/>
      <c r="M8" s="28"/>
      <c r="N8" s="28"/>
      <c r="O8" s="28"/>
      <c r="P8" s="28"/>
      <c r="Q8" s="28"/>
    </row>
    <row r="9" spans="1:20" s="26" customFormat="1" ht="15.75">
      <c r="A9" s="73" t="s">
        <v>0</v>
      </c>
      <c r="B9" s="74">
        <f>C9+D9</f>
        <v>299996390.326</v>
      </c>
      <c r="C9" s="74">
        <v>280024848.326</v>
      </c>
      <c r="D9" s="74">
        <v>19971542</v>
      </c>
      <c r="E9" s="75">
        <v>15648</v>
      </c>
      <c r="F9" s="76">
        <v>94615</v>
      </c>
      <c r="G9" s="109">
        <v>2148181</v>
      </c>
      <c r="H9" s="77">
        <v>3778</v>
      </c>
      <c r="I9" s="109">
        <v>1589625</v>
      </c>
      <c r="J9" s="109">
        <v>34044</v>
      </c>
      <c r="K9" s="131"/>
      <c r="L9" s="131"/>
      <c r="M9" s="28"/>
      <c r="N9" s="28"/>
      <c r="O9" s="28"/>
      <c r="P9" s="28"/>
      <c r="Q9" s="28"/>
      <c r="R9" s="131"/>
      <c r="S9" s="131"/>
      <c r="T9" s="126"/>
    </row>
    <row r="10" spans="1:20" ht="15.75">
      <c r="A10" s="73" t="s">
        <v>1</v>
      </c>
      <c r="B10" s="74">
        <f aca="true" t="shared" si="0" ref="B10:B46">C10+D10</f>
        <v>119755577.371</v>
      </c>
      <c r="C10" s="74">
        <v>111777859.371</v>
      </c>
      <c r="D10" s="74">
        <v>7977718</v>
      </c>
      <c r="E10" s="75">
        <v>8439</v>
      </c>
      <c r="F10" s="76">
        <v>131764</v>
      </c>
      <c r="G10" s="77">
        <v>892160</v>
      </c>
      <c r="H10" s="77">
        <v>2073</v>
      </c>
      <c r="I10" s="109">
        <v>800872</v>
      </c>
      <c r="J10" s="109">
        <v>16249</v>
      </c>
      <c r="K10" s="131"/>
      <c r="L10" s="131"/>
      <c r="R10" s="131"/>
      <c r="S10" s="131"/>
      <c r="T10" s="126"/>
    </row>
    <row r="11" spans="1:20" ht="15.75">
      <c r="A11" s="73" t="s">
        <v>2</v>
      </c>
      <c r="B11" s="74">
        <f t="shared" si="0"/>
        <v>27214837.83</v>
      </c>
      <c r="C11" s="74">
        <v>26002349.83</v>
      </c>
      <c r="D11" s="74">
        <v>1212488</v>
      </c>
      <c r="E11" s="75">
        <v>1665</v>
      </c>
      <c r="F11" s="76">
        <v>21832</v>
      </c>
      <c r="G11" s="77">
        <v>249258</v>
      </c>
      <c r="H11" s="77">
        <v>409</v>
      </c>
      <c r="I11" s="109">
        <v>103527</v>
      </c>
      <c r="J11" s="109">
        <v>2559</v>
      </c>
      <c r="K11" s="131"/>
      <c r="L11" s="131"/>
      <c r="R11" s="131"/>
      <c r="S11" s="131"/>
      <c r="T11" s="126"/>
    </row>
    <row r="12" spans="1:20" ht="15.75">
      <c r="A12" s="73" t="s">
        <v>11</v>
      </c>
      <c r="B12" s="74">
        <f t="shared" si="0"/>
        <v>20629770.852</v>
      </c>
      <c r="C12" s="74">
        <v>19494724.852</v>
      </c>
      <c r="D12" s="74">
        <v>1135046</v>
      </c>
      <c r="E12" s="75">
        <v>1221</v>
      </c>
      <c r="F12" s="76">
        <v>12536</v>
      </c>
      <c r="G12" s="77">
        <v>191469</v>
      </c>
      <c r="H12" s="77">
        <v>283</v>
      </c>
      <c r="I12" s="109">
        <v>92233</v>
      </c>
      <c r="J12" s="109">
        <v>1598</v>
      </c>
      <c r="K12" s="131"/>
      <c r="L12" s="131"/>
      <c r="R12" s="131"/>
      <c r="S12" s="131"/>
      <c r="T12" s="126"/>
    </row>
    <row r="13" spans="1:20" ht="15.75">
      <c r="A13" s="73" t="s">
        <v>3</v>
      </c>
      <c r="B13" s="74">
        <f t="shared" si="0"/>
        <v>6732658.243</v>
      </c>
      <c r="C13" s="74">
        <v>6346667.243</v>
      </c>
      <c r="D13" s="74">
        <v>385991</v>
      </c>
      <c r="E13" s="75">
        <v>820</v>
      </c>
      <c r="F13" s="76">
        <v>1723</v>
      </c>
      <c r="G13" s="77">
        <v>56931</v>
      </c>
      <c r="H13" s="77">
        <v>34</v>
      </c>
      <c r="I13" s="109">
        <v>32258</v>
      </c>
      <c r="J13" s="109">
        <v>654</v>
      </c>
      <c r="K13" s="131"/>
      <c r="L13" s="131"/>
      <c r="R13" s="131"/>
      <c r="S13" s="131"/>
      <c r="T13" s="126"/>
    </row>
    <row r="14" spans="1:20" ht="15.75">
      <c r="A14" s="73" t="s">
        <v>4</v>
      </c>
      <c r="B14" s="74">
        <f t="shared" si="0"/>
        <v>8482239.730999999</v>
      </c>
      <c r="C14" s="74">
        <v>7994105.731</v>
      </c>
      <c r="D14" s="74">
        <v>488134</v>
      </c>
      <c r="E14" s="75">
        <v>566</v>
      </c>
      <c r="F14" s="76">
        <v>14073</v>
      </c>
      <c r="G14" s="77">
        <v>57025</v>
      </c>
      <c r="H14" s="77">
        <v>73</v>
      </c>
      <c r="I14" s="109">
        <v>26569</v>
      </c>
      <c r="J14" s="109">
        <v>579</v>
      </c>
      <c r="K14" s="131"/>
      <c r="L14" s="131"/>
      <c r="R14" s="131"/>
      <c r="S14" s="131"/>
      <c r="T14" s="126"/>
    </row>
    <row r="15" spans="1:20" ht="15.75">
      <c r="A15" s="73" t="s">
        <v>56</v>
      </c>
      <c r="B15" s="74">
        <f t="shared" si="0"/>
        <v>7015783.181</v>
      </c>
      <c r="C15" s="74">
        <v>5897486.181</v>
      </c>
      <c r="D15" s="74">
        <v>1118297</v>
      </c>
      <c r="E15" s="75">
        <v>759</v>
      </c>
      <c r="F15" s="74">
        <v>168</v>
      </c>
      <c r="G15" s="109">
        <v>55451</v>
      </c>
      <c r="H15" s="109">
        <v>54</v>
      </c>
      <c r="I15" s="109">
        <v>32450</v>
      </c>
      <c r="J15" s="109">
        <v>834</v>
      </c>
      <c r="K15" s="131"/>
      <c r="L15" s="131"/>
      <c r="R15" s="131"/>
      <c r="S15" s="131"/>
      <c r="T15" s="126"/>
    </row>
    <row r="16" spans="1:20" ht="15.75">
      <c r="A16" s="73" t="s">
        <v>5</v>
      </c>
      <c r="B16" s="74">
        <f t="shared" si="0"/>
        <v>1923598.699</v>
      </c>
      <c r="C16" s="74">
        <v>1824160.699</v>
      </c>
      <c r="D16" s="74">
        <v>99438</v>
      </c>
      <c r="E16" s="75">
        <v>204</v>
      </c>
      <c r="F16" s="74">
        <v>0</v>
      </c>
      <c r="G16" s="109">
        <v>30486</v>
      </c>
      <c r="H16" s="109">
        <v>13</v>
      </c>
      <c r="I16" s="109">
        <v>7280</v>
      </c>
      <c r="J16" s="109">
        <v>155</v>
      </c>
      <c r="K16" s="131"/>
      <c r="L16" s="131"/>
      <c r="R16" s="131"/>
      <c r="S16" s="131"/>
      <c r="T16" s="126"/>
    </row>
    <row r="17" spans="1:20" ht="15.75">
      <c r="A17" s="73" t="s">
        <v>6</v>
      </c>
      <c r="B17" s="74">
        <f t="shared" si="0"/>
        <v>6750490.474</v>
      </c>
      <c r="C17" s="74">
        <v>6293863.474</v>
      </c>
      <c r="D17" s="74">
        <v>456627</v>
      </c>
      <c r="E17" s="75">
        <v>1031</v>
      </c>
      <c r="F17" s="74">
        <v>19923</v>
      </c>
      <c r="G17" s="109">
        <v>84436</v>
      </c>
      <c r="H17" s="109">
        <v>81</v>
      </c>
      <c r="I17" s="109">
        <v>47551</v>
      </c>
      <c r="J17" s="109">
        <v>938</v>
      </c>
      <c r="K17" s="131"/>
      <c r="L17" s="131"/>
      <c r="R17" s="131"/>
      <c r="S17" s="131"/>
      <c r="T17" s="126"/>
    </row>
    <row r="18" spans="1:20" ht="15.75">
      <c r="A18" s="73" t="s">
        <v>13</v>
      </c>
      <c r="B18" s="74">
        <f t="shared" si="0"/>
        <v>3239491.894</v>
      </c>
      <c r="C18" s="74">
        <v>3030583.894</v>
      </c>
      <c r="D18" s="74">
        <v>208908</v>
      </c>
      <c r="E18" s="75">
        <v>369</v>
      </c>
      <c r="F18" s="74">
        <v>27490</v>
      </c>
      <c r="G18" s="109">
        <v>30025</v>
      </c>
      <c r="H18" s="109">
        <v>76</v>
      </c>
      <c r="I18" s="109">
        <v>14880</v>
      </c>
      <c r="J18" s="109">
        <v>386</v>
      </c>
      <c r="K18" s="131"/>
      <c r="L18" s="131"/>
      <c r="R18" s="131"/>
      <c r="S18" s="131"/>
      <c r="T18" s="126"/>
    </row>
    <row r="19" spans="1:20" ht="15.75">
      <c r="A19" s="73" t="s">
        <v>101</v>
      </c>
      <c r="B19" s="74"/>
      <c r="C19" s="78"/>
      <c r="D19" s="78"/>
      <c r="E19" s="76"/>
      <c r="F19" s="79"/>
      <c r="G19" s="109"/>
      <c r="H19" s="109"/>
      <c r="I19" s="109"/>
      <c r="J19" s="109"/>
      <c r="K19" s="131"/>
      <c r="L19" s="131"/>
      <c r="R19" s="131"/>
      <c r="S19" s="131"/>
      <c r="T19" s="126"/>
    </row>
    <row r="20" spans="1:20" ht="15.75">
      <c r="A20" s="73" t="s">
        <v>14</v>
      </c>
      <c r="B20" s="74">
        <f>C20+D20</f>
        <v>772843.206</v>
      </c>
      <c r="C20" s="74">
        <v>726039.206</v>
      </c>
      <c r="D20" s="74">
        <v>46804</v>
      </c>
      <c r="E20" s="80">
        <v>99</v>
      </c>
      <c r="F20" s="74">
        <v>65625</v>
      </c>
      <c r="G20" s="109">
        <v>8290</v>
      </c>
      <c r="H20" s="109">
        <v>6</v>
      </c>
      <c r="I20" s="109">
        <v>2898</v>
      </c>
      <c r="J20" s="109">
        <v>129</v>
      </c>
      <c r="K20" s="131"/>
      <c r="L20" s="131"/>
      <c r="R20" s="131"/>
      <c r="S20" s="131"/>
      <c r="T20" s="126"/>
    </row>
    <row r="21" spans="1:20" ht="15.75">
      <c r="A21" s="73" t="s">
        <v>15</v>
      </c>
      <c r="B21" s="74">
        <f t="shared" si="0"/>
        <v>4115362.636</v>
      </c>
      <c r="C21" s="74">
        <v>3877515.636</v>
      </c>
      <c r="D21" s="74">
        <v>237847</v>
      </c>
      <c r="E21" s="75">
        <v>353</v>
      </c>
      <c r="F21" s="74">
        <v>81915</v>
      </c>
      <c r="G21" s="109">
        <v>58107</v>
      </c>
      <c r="H21" s="109">
        <v>85</v>
      </c>
      <c r="I21" s="109">
        <v>20986</v>
      </c>
      <c r="J21" s="109">
        <v>398</v>
      </c>
      <c r="K21" s="131"/>
      <c r="L21" s="131"/>
      <c r="R21" s="131"/>
      <c r="S21" s="131"/>
      <c r="T21" s="126"/>
    </row>
    <row r="22" spans="1:20" ht="15.75">
      <c r="A22" s="73" t="s">
        <v>16</v>
      </c>
      <c r="B22" s="74">
        <f t="shared" si="0"/>
        <v>1492786.128</v>
      </c>
      <c r="C22" s="74">
        <v>1441434.128</v>
      </c>
      <c r="D22" s="74">
        <v>51352</v>
      </c>
      <c r="E22" s="75">
        <v>208</v>
      </c>
      <c r="F22" s="74">
        <v>107412</v>
      </c>
      <c r="G22" s="109">
        <v>12261</v>
      </c>
      <c r="H22" s="109">
        <v>8</v>
      </c>
      <c r="I22" s="109">
        <v>5922</v>
      </c>
      <c r="J22" s="109">
        <v>142</v>
      </c>
      <c r="K22" s="131"/>
      <c r="L22" s="131"/>
      <c r="R22" s="131"/>
      <c r="S22" s="131"/>
      <c r="T22" s="126"/>
    </row>
    <row r="23" spans="1:20" ht="15.75">
      <c r="A23" s="73" t="s">
        <v>36</v>
      </c>
      <c r="B23" s="74">
        <f t="shared" si="0"/>
        <v>1420097.597</v>
      </c>
      <c r="C23" s="74">
        <v>1326470.597</v>
      </c>
      <c r="D23" s="74">
        <v>93627</v>
      </c>
      <c r="E23" s="75">
        <v>280</v>
      </c>
      <c r="F23" s="74">
        <v>989294</v>
      </c>
      <c r="G23" s="109">
        <v>13896</v>
      </c>
      <c r="H23" s="109">
        <v>15</v>
      </c>
      <c r="I23" s="109">
        <v>9928</v>
      </c>
      <c r="J23" s="109">
        <v>181</v>
      </c>
      <c r="K23" s="131"/>
      <c r="L23" s="131"/>
      <c r="R23" s="131"/>
      <c r="S23" s="131"/>
      <c r="T23" s="126"/>
    </row>
    <row r="24" spans="1:20" ht="15.75">
      <c r="A24" s="73" t="s">
        <v>37</v>
      </c>
      <c r="B24" s="74">
        <f t="shared" si="0"/>
        <v>1655148.176</v>
      </c>
      <c r="C24" s="74">
        <v>1566187.176</v>
      </c>
      <c r="D24" s="74">
        <v>88961</v>
      </c>
      <c r="E24" s="75">
        <v>226</v>
      </c>
      <c r="F24" s="74">
        <v>191963</v>
      </c>
      <c r="G24" s="109">
        <v>13044</v>
      </c>
      <c r="H24" s="109">
        <v>7</v>
      </c>
      <c r="I24" s="109">
        <v>9043</v>
      </c>
      <c r="J24" s="109">
        <v>194</v>
      </c>
      <c r="K24" s="131"/>
      <c r="L24" s="131"/>
      <c r="R24" s="131"/>
      <c r="S24" s="131"/>
      <c r="T24" s="126"/>
    </row>
    <row r="25" spans="1:20" ht="15.75">
      <c r="A25" s="73" t="s">
        <v>7</v>
      </c>
      <c r="B25" s="74">
        <f t="shared" si="0"/>
        <v>1322020.907</v>
      </c>
      <c r="C25" s="74">
        <v>1237833.907</v>
      </c>
      <c r="D25" s="74">
        <v>84187</v>
      </c>
      <c r="E25" s="75">
        <v>229</v>
      </c>
      <c r="F25" s="74">
        <v>177277</v>
      </c>
      <c r="G25" s="109">
        <v>11760</v>
      </c>
      <c r="H25" s="109">
        <v>76</v>
      </c>
      <c r="I25" s="109">
        <v>7468</v>
      </c>
      <c r="J25" s="109">
        <v>272</v>
      </c>
      <c r="K25" s="131"/>
      <c r="L25" s="131"/>
      <c r="R25" s="131"/>
      <c r="S25" s="131"/>
      <c r="T25" s="126"/>
    </row>
    <row r="26" spans="1:20" ht="15.75">
      <c r="A26" s="73" t="s">
        <v>8</v>
      </c>
      <c r="B26" s="74">
        <f t="shared" si="0"/>
        <v>15265955.354</v>
      </c>
      <c r="C26" s="74">
        <v>14455807.354</v>
      </c>
      <c r="D26" s="74">
        <v>810148</v>
      </c>
      <c r="E26" s="80">
        <v>1050</v>
      </c>
      <c r="F26" s="74">
        <v>455755</v>
      </c>
      <c r="G26" s="109">
        <v>249589</v>
      </c>
      <c r="H26" s="109">
        <v>93</v>
      </c>
      <c r="I26" s="109">
        <v>38481</v>
      </c>
      <c r="J26" s="109">
        <v>1509</v>
      </c>
      <c r="K26" s="131"/>
      <c r="L26" s="131"/>
      <c r="R26" s="131"/>
      <c r="S26" s="131"/>
      <c r="T26" s="126"/>
    </row>
    <row r="27" spans="1:20" ht="15.75">
      <c r="A27" s="73" t="s">
        <v>9</v>
      </c>
      <c r="B27" s="74">
        <f t="shared" si="0"/>
        <v>696353.56</v>
      </c>
      <c r="C27" s="74">
        <v>595998.56</v>
      </c>
      <c r="D27" s="74">
        <v>100355</v>
      </c>
      <c r="E27" s="81">
        <v>89</v>
      </c>
      <c r="F27" s="74">
        <v>70588</v>
      </c>
      <c r="G27" s="109">
        <v>8358</v>
      </c>
      <c r="H27" s="109">
        <v>3</v>
      </c>
      <c r="I27" s="109">
        <v>3091</v>
      </c>
      <c r="J27" s="109">
        <v>87</v>
      </c>
      <c r="K27" s="131"/>
      <c r="L27" s="131"/>
      <c r="R27" s="131"/>
      <c r="S27" s="131"/>
      <c r="T27" s="126"/>
    </row>
    <row r="28" spans="1:20" ht="15.75">
      <c r="A28" s="73" t="s">
        <v>17</v>
      </c>
      <c r="B28" s="74">
        <f t="shared" si="0"/>
        <v>923509.666</v>
      </c>
      <c r="C28" s="74">
        <v>848720.666</v>
      </c>
      <c r="D28" s="74">
        <v>74789</v>
      </c>
      <c r="E28" s="80">
        <v>147</v>
      </c>
      <c r="F28" s="74">
        <v>67602</v>
      </c>
      <c r="G28" s="109">
        <v>10310</v>
      </c>
      <c r="H28" s="109">
        <v>10</v>
      </c>
      <c r="I28" s="109">
        <v>2470</v>
      </c>
      <c r="J28" s="109">
        <v>114</v>
      </c>
      <c r="K28" s="131"/>
      <c r="L28" s="131"/>
      <c r="R28" s="131"/>
      <c r="S28" s="131"/>
      <c r="T28" s="126"/>
    </row>
    <row r="29" spans="1:20" ht="15.75">
      <c r="A29" s="73" t="s">
        <v>18</v>
      </c>
      <c r="B29" s="74">
        <f t="shared" si="0"/>
        <v>3702966.256</v>
      </c>
      <c r="C29" s="74">
        <v>3194193.256</v>
      </c>
      <c r="D29" s="74">
        <v>508773</v>
      </c>
      <c r="E29" s="80">
        <v>315</v>
      </c>
      <c r="F29" s="74">
        <v>354623</v>
      </c>
      <c r="G29" s="109">
        <v>52532</v>
      </c>
      <c r="H29" s="109">
        <v>26</v>
      </c>
      <c r="I29" s="109">
        <v>9798</v>
      </c>
      <c r="J29" s="109">
        <v>297</v>
      </c>
      <c r="K29" s="131"/>
      <c r="L29" s="131"/>
      <c r="R29" s="131"/>
      <c r="S29" s="131"/>
      <c r="T29" s="126"/>
    </row>
    <row r="30" spans="1:20" ht="15.75">
      <c r="A30" s="73" t="s">
        <v>19</v>
      </c>
      <c r="B30" s="74">
        <f t="shared" si="0"/>
        <v>3742510.118</v>
      </c>
      <c r="C30" s="74">
        <v>3473669.118</v>
      </c>
      <c r="D30" s="74">
        <v>268841</v>
      </c>
      <c r="E30" s="75">
        <v>492</v>
      </c>
      <c r="F30" s="74">
        <v>263382</v>
      </c>
      <c r="G30" s="109">
        <v>34763</v>
      </c>
      <c r="H30" s="109">
        <v>68</v>
      </c>
      <c r="I30" s="109">
        <v>19990</v>
      </c>
      <c r="J30" s="109">
        <v>434</v>
      </c>
      <c r="K30" s="131"/>
      <c r="L30" s="131"/>
      <c r="R30" s="131"/>
      <c r="S30" s="131"/>
      <c r="T30" s="126"/>
    </row>
    <row r="31" spans="1:20" ht="15.75">
      <c r="A31" s="73" t="s">
        <v>20</v>
      </c>
      <c r="B31" s="74">
        <f t="shared" si="0"/>
        <v>1108316.919</v>
      </c>
      <c r="C31" s="74">
        <v>1031595.919</v>
      </c>
      <c r="D31" s="74">
        <v>76721</v>
      </c>
      <c r="E31" s="75">
        <v>152</v>
      </c>
      <c r="F31" s="74">
        <v>83176</v>
      </c>
      <c r="G31" s="109">
        <v>7868</v>
      </c>
      <c r="H31" s="109">
        <v>12</v>
      </c>
      <c r="I31" s="109">
        <v>3852</v>
      </c>
      <c r="J31" s="109">
        <v>78</v>
      </c>
      <c r="K31" s="131"/>
      <c r="L31" s="131"/>
      <c r="R31" s="131"/>
      <c r="S31" s="131"/>
      <c r="T31" s="126"/>
    </row>
    <row r="32" spans="1:20" ht="15.75">
      <c r="A32" s="73" t="s">
        <v>21</v>
      </c>
      <c r="B32" s="74">
        <f t="shared" si="0"/>
        <v>2279986.009</v>
      </c>
      <c r="C32" s="74">
        <v>2181809.009</v>
      </c>
      <c r="D32" s="74">
        <v>98177</v>
      </c>
      <c r="E32" s="75">
        <v>236</v>
      </c>
      <c r="F32" s="74">
        <v>256255</v>
      </c>
      <c r="G32" s="109">
        <v>17804</v>
      </c>
      <c r="H32" s="109">
        <v>49</v>
      </c>
      <c r="I32" s="109">
        <v>4161</v>
      </c>
      <c r="J32" s="109">
        <v>150</v>
      </c>
      <c r="K32" s="131"/>
      <c r="L32" s="131"/>
      <c r="R32" s="131"/>
      <c r="S32" s="131"/>
      <c r="T32" s="126"/>
    </row>
    <row r="33" spans="1:20" ht="15.75">
      <c r="A33" s="73" t="s">
        <v>22</v>
      </c>
      <c r="B33" s="74">
        <f t="shared" si="0"/>
        <v>1729722.224</v>
      </c>
      <c r="C33" s="74">
        <v>1651111.224</v>
      </c>
      <c r="D33" s="74">
        <v>78611</v>
      </c>
      <c r="E33" s="75">
        <v>43</v>
      </c>
      <c r="F33" s="74">
        <v>211220</v>
      </c>
      <c r="G33" s="109">
        <v>11656</v>
      </c>
      <c r="H33" s="109">
        <v>22</v>
      </c>
      <c r="I33" s="109">
        <v>5755</v>
      </c>
      <c r="J33" s="109">
        <v>147</v>
      </c>
      <c r="K33" s="131"/>
      <c r="L33" s="131"/>
      <c r="R33" s="131"/>
      <c r="S33" s="131"/>
      <c r="T33" s="126"/>
    </row>
    <row r="34" spans="1:20" ht="15.75">
      <c r="A34" s="73" t="s">
        <v>23</v>
      </c>
      <c r="B34" s="74">
        <f t="shared" si="0"/>
        <v>6674029.41</v>
      </c>
      <c r="C34" s="74">
        <v>6300021.41</v>
      </c>
      <c r="D34" s="74">
        <v>374008</v>
      </c>
      <c r="E34" s="75">
        <v>713</v>
      </c>
      <c r="F34" s="74">
        <v>93552</v>
      </c>
      <c r="G34" s="109">
        <v>128611</v>
      </c>
      <c r="H34" s="109">
        <v>229</v>
      </c>
      <c r="I34" s="109">
        <v>40535</v>
      </c>
      <c r="J34" s="109">
        <v>1014</v>
      </c>
      <c r="K34" s="131"/>
      <c r="L34" s="131"/>
      <c r="R34" s="131"/>
      <c r="S34" s="131"/>
      <c r="T34" s="126"/>
    </row>
    <row r="35" spans="1:20" ht="15.75">
      <c r="A35" s="73" t="s">
        <v>24</v>
      </c>
      <c r="B35" s="74">
        <f t="shared" si="0"/>
        <v>611876.826</v>
      </c>
      <c r="C35" s="74">
        <v>559975.826</v>
      </c>
      <c r="D35" s="74">
        <v>51901</v>
      </c>
      <c r="E35" s="75">
        <v>167</v>
      </c>
      <c r="F35" s="74">
        <v>4904</v>
      </c>
      <c r="G35" s="109">
        <v>6846</v>
      </c>
      <c r="H35" s="109">
        <v>4</v>
      </c>
      <c r="I35" s="109">
        <v>2336</v>
      </c>
      <c r="J35" s="109">
        <v>79</v>
      </c>
      <c r="K35" s="131"/>
      <c r="L35" s="131"/>
      <c r="R35" s="131"/>
      <c r="S35" s="131"/>
      <c r="T35" s="126"/>
    </row>
    <row r="36" spans="1:20" ht="15.75">
      <c r="A36" s="73" t="s">
        <v>25</v>
      </c>
      <c r="B36" s="74">
        <f t="shared" si="0"/>
        <v>3683499.764</v>
      </c>
      <c r="C36" s="74">
        <v>3461465.764</v>
      </c>
      <c r="D36" s="74">
        <v>222034</v>
      </c>
      <c r="E36" s="75">
        <v>314</v>
      </c>
      <c r="F36" s="74">
        <v>291298</v>
      </c>
      <c r="G36" s="109">
        <v>23398</v>
      </c>
      <c r="H36" s="109">
        <v>25</v>
      </c>
      <c r="I36" s="109">
        <v>17068</v>
      </c>
      <c r="J36" s="109">
        <v>256</v>
      </c>
      <c r="K36" s="131"/>
      <c r="L36" s="131"/>
      <c r="R36" s="131"/>
      <c r="S36" s="131"/>
      <c r="T36" s="126"/>
    </row>
    <row r="37" spans="1:20" ht="15.75">
      <c r="A37" s="73" t="s">
        <v>26</v>
      </c>
      <c r="B37" s="74">
        <f t="shared" si="0"/>
        <v>2396021.149</v>
      </c>
      <c r="C37" s="74">
        <v>2296802.149</v>
      </c>
      <c r="D37" s="74">
        <v>99219</v>
      </c>
      <c r="E37" s="75">
        <v>282</v>
      </c>
      <c r="F37" s="76">
        <v>370924</v>
      </c>
      <c r="G37" s="77">
        <v>14998</v>
      </c>
      <c r="H37" s="77">
        <v>6</v>
      </c>
      <c r="I37" s="109">
        <v>5694</v>
      </c>
      <c r="J37" s="109">
        <v>176</v>
      </c>
      <c r="K37" s="131"/>
      <c r="L37" s="131"/>
      <c r="R37" s="131"/>
      <c r="S37" s="131"/>
      <c r="T37" s="126"/>
    </row>
    <row r="38" spans="1:20" ht="15.75">
      <c r="A38" s="73" t="s">
        <v>27</v>
      </c>
      <c r="B38" s="74">
        <f t="shared" si="0"/>
        <v>1370379.066</v>
      </c>
      <c r="C38" s="74">
        <v>1281364.066</v>
      </c>
      <c r="D38" s="74">
        <v>89015</v>
      </c>
      <c r="E38" s="75">
        <v>167</v>
      </c>
      <c r="F38" s="76">
        <v>127164</v>
      </c>
      <c r="G38" s="77">
        <v>18567</v>
      </c>
      <c r="H38" s="77">
        <v>44</v>
      </c>
      <c r="I38" s="109">
        <v>4447</v>
      </c>
      <c r="J38" s="109">
        <v>181</v>
      </c>
      <c r="K38" s="131"/>
      <c r="L38" s="131"/>
      <c r="R38" s="131"/>
      <c r="S38" s="131"/>
      <c r="T38" s="126"/>
    </row>
    <row r="39" spans="1:20" ht="15.75">
      <c r="A39" s="73" t="s">
        <v>28</v>
      </c>
      <c r="B39" s="74">
        <f t="shared" si="0"/>
        <v>1619239.873</v>
      </c>
      <c r="C39" s="74">
        <v>1482521.873</v>
      </c>
      <c r="D39" s="74">
        <v>136718</v>
      </c>
      <c r="E39" s="75">
        <v>238</v>
      </c>
      <c r="F39" s="76">
        <v>228491</v>
      </c>
      <c r="G39" s="77">
        <v>16378</v>
      </c>
      <c r="H39" s="77">
        <v>35</v>
      </c>
      <c r="I39" s="109">
        <v>9186</v>
      </c>
      <c r="J39" s="109">
        <v>153</v>
      </c>
      <c r="K39" s="131"/>
      <c r="L39" s="131"/>
      <c r="R39" s="131"/>
      <c r="S39" s="131"/>
      <c r="T39" s="126"/>
    </row>
    <row r="40" spans="1:20" ht="15.75">
      <c r="A40" s="73" t="s">
        <v>29</v>
      </c>
      <c r="B40" s="74">
        <f t="shared" si="0"/>
        <v>6040482.533</v>
      </c>
      <c r="C40" s="74">
        <v>5668197.533</v>
      </c>
      <c r="D40" s="74">
        <v>372285</v>
      </c>
      <c r="E40" s="75">
        <v>451</v>
      </c>
      <c r="F40" s="76">
        <v>57827</v>
      </c>
      <c r="G40" s="77">
        <v>37626</v>
      </c>
      <c r="H40" s="77">
        <v>221</v>
      </c>
      <c r="I40" s="109">
        <v>18886</v>
      </c>
      <c r="J40" s="109">
        <v>406</v>
      </c>
      <c r="K40" s="131"/>
      <c r="L40" s="131"/>
      <c r="R40" s="131"/>
      <c r="S40" s="131"/>
      <c r="T40" s="126"/>
    </row>
    <row r="41" spans="1:20" ht="15.75">
      <c r="A41" s="73" t="s">
        <v>30</v>
      </c>
      <c r="B41" s="74">
        <f t="shared" si="0"/>
        <v>8489441.397</v>
      </c>
      <c r="C41" s="74">
        <v>7400781.397</v>
      </c>
      <c r="D41" s="74">
        <v>1088660</v>
      </c>
      <c r="E41" s="75">
        <v>892</v>
      </c>
      <c r="F41" s="76">
        <v>346179</v>
      </c>
      <c r="G41" s="77">
        <v>184017</v>
      </c>
      <c r="H41" s="77">
        <v>189</v>
      </c>
      <c r="I41" s="109">
        <v>56970</v>
      </c>
      <c r="J41" s="109">
        <v>1856</v>
      </c>
      <c r="K41" s="131"/>
      <c r="L41" s="131"/>
      <c r="R41" s="131"/>
      <c r="S41" s="131"/>
      <c r="T41" s="126"/>
    </row>
    <row r="42" spans="1:20" ht="15.75">
      <c r="A42" s="73" t="s">
        <v>31</v>
      </c>
      <c r="B42" s="74">
        <f t="shared" si="0"/>
        <v>1935606</v>
      </c>
      <c r="C42" s="74">
        <v>1843781</v>
      </c>
      <c r="D42" s="74">
        <v>91825</v>
      </c>
      <c r="E42" s="75">
        <v>207</v>
      </c>
      <c r="F42" s="76">
        <v>247736</v>
      </c>
      <c r="G42" s="77">
        <v>32089</v>
      </c>
      <c r="H42" s="77">
        <v>30</v>
      </c>
      <c r="I42" s="109">
        <v>12623</v>
      </c>
      <c r="J42" s="109">
        <v>224</v>
      </c>
      <c r="K42" s="131"/>
      <c r="L42" s="131"/>
      <c r="R42" s="131"/>
      <c r="S42" s="131"/>
      <c r="T42" s="126"/>
    </row>
    <row r="43" spans="1:20" ht="15.75">
      <c r="A43" s="73" t="s">
        <v>32</v>
      </c>
      <c r="B43" s="74">
        <f t="shared" si="0"/>
        <v>1058453.281</v>
      </c>
      <c r="C43" s="74">
        <v>1004818.281</v>
      </c>
      <c r="D43" s="74">
        <v>53635</v>
      </c>
      <c r="E43" s="75">
        <v>156</v>
      </c>
      <c r="F43" s="76">
        <v>195849</v>
      </c>
      <c r="G43" s="77">
        <v>11722</v>
      </c>
      <c r="H43" s="77">
        <v>4</v>
      </c>
      <c r="I43" s="109">
        <v>4506</v>
      </c>
      <c r="J43" s="109">
        <v>110</v>
      </c>
      <c r="K43" s="131"/>
      <c r="L43" s="131"/>
      <c r="R43" s="131"/>
      <c r="S43" s="131"/>
      <c r="T43" s="126"/>
    </row>
    <row r="44" spans="1:20" ht="15.75">
      <c r="A44" s="73" t="s">
        <v>33</v>
      </c>
      <c r="B44" s="74">
        <f t="shared" si="0"/>
        <v>942666.713</v>
      </c>
      <c r="C44" s="74">
        <v>870710.713</v>
      </c>
      <c r="D44" s="74">
        <v>71956</v>
      </c>
      <c r="E44" s="75">
        <v>173</v>
      </c>
      <c r="F44" s="76">
        <v>28724</v>
      </c>
      <c r="G44" s="77">
        <v>8005</v>
      </c>
      <c r="H44" s="77">
        <v>29</v>
      </c>
      <c r="I44" s="109">
        <v>3936</v>
      </c>
      <c r="J44" s="109">
        <v>134</v>
      </c>
      <c r="K44" s="131"/>
      <c r="L44" s="131"/>
      <c r="R44" s="131"/>
      <c r="S44" s="131"/>
      <c r="T44" s="126"/>
    </row>
    <row r="45" spans="1:20" ht="15.75">
      <c r="A45" s="73" t="s">
        <v>34</v>
      </c>
      <c r="B45" s="74">
        <f t="shared" si="0"/>
        <v>1022641.632</v>
      </c>
      <c r="C45" s="74">
        <v>920881.632</v>
      </c>
      <c r="D45" s="74">
        <v>101760</v>
      </c>
      <c r="E45" s="75">
        <v>201</v>
      </c>
      <c r="F45" s="76">
        <v>8327</v>
      </c>
      <c r="G45" s="77">
        <v>10549</v>
      </c>
      <c r="H45" s="77">
        <v>19</v>
      </c>
      <c r="I45" s="109">
        <v>3788</v>
      </c>
      <c r="J45" s="109">
        <v>122</v>
      </c>
      <c r="K45" s="131"/>
      <c r="L45" s="131"/>
      <c r="R45" s="131"/>
      <c r="S45" s="131"/>
      <c r="T45" s="126"/>
    </row>
    <row r="46" spans="1:20" ht="15.75">
      <c r="A46" s="73" t="s">
        <v>10</v>
      </c>
      <c r="B46" s="74">
        <f t="shared" si="0"/>
        <v>1625072.131</v>
      </c>
      <c r="C46" s="74">
        <v>1553426.131</v>
      </c>
      <c r="D46" s="74">
        <v>71646</v>
      </c>
      <c r="E46" s="75">
        <v>205</v>
      </c>
      <c r="F46" s="76">
        <v>49732</v>
      </c>
      <c r="G46" s="77">
        <v>27299</v>
      </c>
      <c r="H46" s="77">
        <v>4</v>
      </c>
      <c r="I46" s="109">
        <v>8407</v>
      </c>
      <c r="J46" s="109">
        <v>189</v>
      </c>
      <c r="K46" s="131"/>
      <c r="L46" s="131"/>
      <c r="R46" s="131"/>
      <c r="S46" s="131"/>
      <c r="T46" s="126"/>
    </row>
    <row r="47" spans="1:19" ht="18.75" customHeight="1">
      <c r="A47" s="7" t="s">
        <v>35</v>
      </c>
      <c r="B47" s="25">
        <f aca="true" t="shared" si="1" ref="B47:G47">SUM(B9:B46)</f>
        <v>579437827.1319999</v>
      </c>
      <c r="C47" s="25">
        <f t="shared" si="1"/>
        <v>540939783.1319999</v>
      </c>
      <c r="D47" s="25">
        <f t="shared" si="1"/>
        <v>38498044</v>
      </c>
      <c r="E47" s="25">
        <f t="shared" si="1"/>
        <v>38807</v>
      </c>
      <c r="F47" s="25">
        <f t="shared" si="1"/>
        <v>5750918</v>
      </c>
      <c r="G47" s="25">
        <f t="shared" si="1"/>
        <v>4825765</v>
      </c>
      <c r="H47" s="25">
        <f>SUM(H9:H46)</f>
        <v>8193</v>
      </c>
      <c r="I47" s="25">
        <f>SUM(I9:I46)</f>
        <v>3079470</v>
      </c>
      <c r="J47" s="25">
        <f>SUM(J9:J46)</f>
        <v>67028</v>
      </c>
      <c r="K47" s="131"/>
      <c r="L47" s="131"/>
      <c r="R47" s="131"/>
      <c r="S47" s="131"/>
    </row>
    <row r="48" spans="10:12" ht="15.75">
      <c r="J48" s="27"/>
      <c r="K48" s="27"/>
      <c r="L48" s="27"/>
    </row>
    <row r="49" spans="10:12" ht="15.75">
      <c r="J49" s="27"/>
      <c r="K49" s="27"/>
      <c r="L49" s="27"/>
    </row>
    <row r="50" spans="2:12" ht="15.75">
      <c r="B50" s="24"/>
      <c r="C50" s="24"/>
      <c r="D50" s="24"/>
      <c r="G50" s="23"/>
      <c r="H50" s="23"/>
      <c r="J50" s="27"/>
      <c r="K50" s="27"/>
      <c r="L50" s="27"/>
    </row>
    <row r="51" spans="2:12" ht="15.75">
      <c r="B51" s="23"/>
      <c r="C51" s="23"/>
      <c r="D51" s="23"/>
      <c r="J51" s="27"/>
      <c r="K51" s="27"/>
      <c r="L51" s="27"/>
    </row>
    <row r="52" spans="2:12" ht="15.75">
      <c r="B52" s="24"/>
      <c r="C52" s="24"/>
      <c r="D52" s="24"/>
      <c r="J52" s="27"/>
      <c r="K52" s="27"/>
      <c r="L52" s="27"/>
    </row>
    <row r="53" spans="10:12" ht="15.75">
      <c r="J53" s="27"/>
      <c r="K53" s="27"/>
      <c r="L53" s="27"/>
    </row>
    <row r="55" spans="2:4" ht="15.75">
      <c r="B55" s="23"/>
      <c r="C55" s="23"/>
      <c r="D55" s="23"/>
    </row>
  </sheetData>
  <sheetProtection/>
  <mergeCells count="12">
    <mergeCell ref="C5:D5"/>
    <mergeCell ref="B5:B6"/>
    <mergeCell ref="A5:A6"/>
    <mergeCell ref="J5:J6"/>
    <mergeCell ref="A2:J2"/>
    <mergeCell ref="A1:J1"/>
    <mergeCell ref="E5:E6"/>
    <mergeCell ref="F5:F6"/>
    <mergeCell ref="G5:G6"/>
    <mergeCell ref="H5:H6"/>
    <mergeCell ref="I5:I6"/>
    <mergeCell ref="B4:D4"/>
  </mergeCells>
  <printOptions gridLines="1" horizontalCentered="1"/>
  <pageMargins left="0.2" right="0.2" top="0.31496062992125984" bottom="0.15748031496062992" header="0.15748031496062992" footer="0.15748031496062992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003300"/>
  </sheetPr>
  <dimension ref="A1:X23"/>
  <sheetViews>
    <sheetView view="pageBreakPreview" zoomScale="80" zoomScaleNormal="80" zoomScaleSheetLayoutView="80" workbookViewId="0" topLeftCell="A1">
      <selection activeCell="I1" sqref="I1:J1"/>
    </sheetView>
  </sheetViews>
  <sheetFormatPr defaultColWidth="9.00390625" defaultRowHeight="12.75"/>
  <cols>
    <col min="1" max="1" width="44.75390625" style="35" customWidth="1"/>
    <col min="2" max="2" width="16.125" style="34" customWidth="1"/>
    <col min="3" max="3" width="14.625" style="34" customWidth="1"/>
    <col min="4" max="4" width="12.375" style="34" customWidth="1"/>
    <col min="5" max="7" width="12.625" style="34" customWidth="1"/>
    <col min="8" max="9" width="19.75390625" style="34" customWidth="1"/>
    <col min="10" max="10" width="20.00390625" style="34" customWidth="1"/>
    <col min="11" max="14" width="9.125" style="34" customWidth="1"/>
    <col min="15" max="17" width="13.00390625" style="34" bestFit="1" customWidth="1"/>
    <col min="18" max="16384" width="9.125" style="34" customWidth="1"/>
  </cols>
  <sheetData>
    <row r="1" spans="1:10" ht="15.75">
      <c r="A1" s="39"/>
      <c r="B1" s="38"/>
      <c r="C1" s="38"/>
      <c r="D1" s="38"/>
      <c r="E1" s="38"/>
      <c r="F1" s="38"/>
      <c r="G1" s="38"/>
      <c r="H1" s="38"/>
      <c r="I1" s="243" t="s">
        <v>188</v>
      </c>
      <c r="J1" s="243"/>
    </row>
    <row r="2" spans="1:10" ht="16.5">
      <c r="A2" s="242" t="s">
        <v>149</v>
      </c>
      <c r="B2" s="242"/>
      <c r="C2" s="242"/>
      <c r="D2" s="242"/>
      <c r="E2" s="242"/>
      <c r="F2" s="242"/>
      <c r="G2" s="242"/>
      <c r="H2" s="242"/>
      <c r="I2" s="242"/>
      <c r="J2" s="242"/>
    </row>
    <row r="3" spans="1:10" ht="15.75">
      <c r="A3" s="136"/>
      <c r="B3" s="136"/>
      <c r="C3" s="136"/>
      <c r="D3" s="136"/>
      <c r="E3" s="136"/>
      <c r="F3" s="136"/>
      <c r="G3" s="136"/>
      <c r="H3" s="136"/>
      <c r="I3" s="136"/>
      <c r="J3" s="136"/>
    </row>
    <row r="4" spans="1:10" ht="80.25" customHeight="1">
      <c r="A4" s="245" t="s">
        <v>60</v>
      </c>
      <c r="B4" s="245" t="s">
        <v>68</v>
      </c>
      <c r="C4" s="245" t="s">
        <v>150</v>
      </c>
      <c r="D4" s="240" t="s">
        <v>138</v>
      </c>
      <c r="E4" s="240"/>
      <c r="F4" s="240"/>
      <c r="G4" s="240"/>
      <c r="H4" s="240" t="s">
        <v>153</v>
      </c>
      <c r="I4" s="240" t="s">
        <v>140</v>
      </c>
      <c r="J4" s="240" t="s">
        <v>154</v>
      </c>
    </row>
    <row r="5" spans="1:10" ht="15.75" customHeight="1">
      <c r="A5" s="246"/>
      <c r="B5" s="246"/>
      <c r="C5" s="246"/>
      <c r="D5" s="240" t="s">
        <v>151</v>
      </c>
      <c r="E5" s="240" t="s">
        <v>128</v>
      </c>
      <c r="F5" s="240"/>
      <c r="G5" s="240"/>
      <c r="H5" s="240"/>
      <c r="I5" s="240"/>
      <c r="J5" s="240"/>
    </row>
    <row r="6" spans="1:10" ht="32.25" customHeight="1">
      <c r="A6" s="247"/>
      <c r="B6" s="247"/>
      <c r="C6" s="247"/>
      <c r="D6" s="240"/>
      <c r="E6" s="134" t="s">
        <v>133</v>
      </c>
      <c r="F6" s="134" t="s">
        <v>134</v>
      </c>
      <c r="G6" s="134" t="s">
        <v>152</v>
      </c>
      <c r="H6" s="240"/>
      <c r="I6" s="240"/>
      <c r="J6" s="240"/>
    </row>
    <row r="7" spans="1:22" s="36" customFormat="1" ht="15.75">
      <c r="A7" s="37" t="s">
        <v>38</v>
      </c>
      <c r="B7" s="37" t="s">
        <v>39</v>
      </c>
      <c r="C7" s="37" t="s">
        <v>40</v>
      </c>
      <c r="D7" s="37" t="s">
        <v>41</v>
      </c>
      <c r="E7" s="37" t="s">
        <v>42</v>
      </c>
      <c r="F7" s="37" t="s">
        <v>46</v>
      </c>
      <c r="G7" s="37" t="s">
        <v>43</v>
      </c>
      <c r="H7" s="37" t="s">
        <v>135</v>
      </c>
      <c r="I7" s="37" t="s">
        <v>136</v>
      </c>
      <c r="J7" s="37" t="s">
        <v>137</v>
      </c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</row>
    <row r="8" spans="1:24" ht="24" customHeight="1">
      <c r="A8" s="85" t="s">
        <v>67</v>
      </c>
      <c r="B8" s="86">
        <f>SUM('База налогов'!B9:B18)</f>
        <v>501740838.6009999</v>
      </c>
      <c r="C8" s="86">
        <v>17026358.52959</v>
      </c>
      <c r="D8" s="142">
        <v>1</v>
      </c>
      <c r="E8" s="142">
        <v>1</v>
      </c>
      <c r="F8" s="142">
        <v>1</v>
      </c>
      <c r="G8" s="142">
        <v>1</v>
      </c>
      <c r="H8" s="144">
        <f>C8/B8*D8*E8</f>
        <v>0.033934567847944096</v>
      </c>
      <c r="I8" s="144">
        <f>H8*F8</f>
        <v>0.033934567847944096</v>
      </c>
      <c r="J8" s="144">
        <f>I8*G8</f>
        <v>0.033934567847944096</v>
      </c>
      <c r="W8" s="139"/>
      <c r="X8" s="139"/>
    </row>
    <row r="9" spans="1:24" ht="38.25" customHeight="1">
      <c r="A9" s="85" t="s">
        <v>66</v>
      </c>
      <c r="B9" s="86">
        <f>SUM('База налогов'!B20:B46)</f>
        <v>77696988.531</v>
      </c>
      <c r="C9" s="86">
        <v>3678408.97726</v>
      </c>
      <c r="D9" s="143">
        <v>1</v>
      </c>
      <c r="E9" s="143">
        <v>1</v>
      </c>
      <c r="F9" s="143">
        <v>1</v>
      </c>
      <c r="G9" s="143">
        <v>1</v>
      </c>
      <c r="H9" s="144">
        <f aca="true" t="shared" si="0" ref="H9:H17">C9/B9*D9*E9</f>
        <v>0.04734300578190835</v>
      </c>
      <c r="I9" s="144">
        <f aca="true" t="shared" si="1" ref="I9:I18">H9*F9</f>
        <v>0.04734300578190835</v>
      </c>
      <c r="J9" s="144">
        <f aca="true" t="shared" si="2" ref="J9:J18">I9*G9</f>
        <v>0.04734300578190835</v>
      </c>
      <c r="W9" s="139"/>
      <c r="X9" s="139"/>
    </row>
    <row r="10" spans="1:24" ht="35.25" customHeight="1">
      <c r="A10" s="85" t="s">
        <v>65</v>
      </c>
      <c r="B10" s="86">
        <f>SUM('База налогов'!E9:E18)</f>
        <v>30722</v>
      </c>
      <c r="C10" s="86">
        <v>900134.85154</v>
      </c>
      <c r="D10" s="143">
        <v>0</v>
      </c>
      <c r="E10" s="143">
        <v>0</v>
      </c>
      <c r="F10" s="143">
        <v>0</v>
      </c>
      <c r="G10" s="143">
        <v>0</v>
      </c>
      <c r="H10" s="144">
        <f t="shared" si="0"/>
        <v>0</v>
      </c>
      <c r="I10" s="144">
        <f t="shared" si="1"/>
        <v>0</v>
      </c>
      <c r="J10" s="144">
        <f t="shared" si="2"/>
        <v>0</v>
      </c>
      <c r="W10" s="139"/>
      <c r="X10" s="139"/>
    </row>
    <row r="11" spans="1:24" ht="37.5" customHeight="1">
      <c r="A11" s="85" t="s">
        <v>64</v>
      </c>
      <c r="B11" s="86">
        <f>SUM('База налогов'!E20:E46)</f>
        <v>8085</v>
      </c>
      <c r="C11" s="86">
        <v>154932.67318</v>
      </c>
      <c r="D11" s="143">
        <v>0</v>
      </c>
      <c r="E11" s="143">
        <v>0</v>
      </c>
      <c r="F11" s="143">
        <v>0</v>
      </c>
      <c r="G11" s="143">
        <v>0</v>
      </c>
      <c r="H11" s="144">
        <f t="shared" si="0"/>
        <v>0</v>
      </c>
      <c r="I11" s="144">
        <f t="shared" si="1"/>
        <v>0</v>
      </c>
      <c r="J11" s="144">
        <f t="shared" si="2"/>
        <v>0</v>
      </c>
      <c r="W11" s="139"/>
      <c r="X11" s="139"/>
    </row>
    <row r="12" spans="1:24" ht="21" customHeight="1">
      <c r="A12" s="123" t="s">
        <v>63</v>
      </c>
      <c r="B12" s="86">
        <f>'База налогов'!F47</f>
        <v>5750918</v>
      </c>
      <c r="C12" s="86">
        <v>157913.93807</v>
      </c>
      <c r="D12" s="143">
        <v>1</v>
      </c>
      <c r="E12" s="143">
        <v>1</v>
      </c>
      <c r="F12" s="143">
        <v>1</v>
      </c>
      <c r="G12" s="143">
        <v>1</v>
      </c>
      <c r="H12" s="144">
        <f t="shared" si="0"/>
        <v>0.027458909702763976</v>
      </c>
      <c r="I12" s="144">
        <f t="shared" si="1"/>
        <v>0.027458909702763976</v>
      </c>
      <c r="J12" s="144">
        <f t="shared" si="2"/>
        <v>0.027458909702763976</v>
      </c>
      <c r="W12" s="139"/>
      <c r="X12" s="139"/>
    </row>
    <row r="13" spans="1:24" ht="18.75" customHeight="1">
      <c r="A13" s="123" t="s">
        <v>62</v>
      </c>
      <c r="B13" s="86">
        <f>SUM('База налогов'!G9:G18)</f>
        <v>3795422</v>
      </c>
      <c r="C13" s="86">
        <v>3492875.5875</v>
      </c>
      <c r="D13" s="143">
        <v>1</v>
      </c>
      <c r="E13" s="143">
        <v>1</v>
      </c>
      <c r="F13" s="143">
        <v>1</v>
      </c>
      <c r="G13" s="143">
        <v>1</v>
      </c>
      <c r="H13" s="144">
        <f t="shared" si="0"/>
        <v>0.9202864892230692</v>
      </c>
      <c r="I13" s="144">
        <f t="shared" si="1"/>
        <v>0.9202864892230692</v>
      </c>
      <c r="J13" s="144">
        <f t="shared" si="2"/>
        <v>0.9202864892230692</v>
      </c>
      <c r="W13" s="139"/>
      <c r="X13" s="139"/>
    </row>
    <row r="14" spans="1:24" ht="18.75" customHeight="1">
      <c r="A14" s="123" t="s">
        <v>61</v>
      </c>
      <c r="B14" s="86">
        <f>SUM('База налогов'!G20:G46)</f>
        <v>1030343</v>
      </c>
      <c r="C14" s="86">
        <v>907765.58029</v>
      </c>
      <c r="D14" s="143">
        <v>1</v>
      </c>
      <c r="E14" s="143">
        <v>1</v>
      </c>
      <c r="F14" s="143">
        <v>1</v>
      </c>
      <c r="G14" s="143">
        <v>1</v>
      </c>
      <c r="H14" s="144">
        <f t="shared" si="0"/>
        <v>0.8810324137593015</v>
      </c>
      <c r="I14" s="144">
        <f t="shared" si="1"/>
        <v>0.8810324137593015</v>
      </c>
      <c r="J14" s="144">
        <f t="shared" si="2"/>
        <v>0.8810324137593015</v>
      </c>
      <c r="W14" s="139"/>
      <c r="X14" s="139"/>
    </row>
    <row r="15" spans="1:24" ht="45.75" customHeight="1">
      <c r="A15" s="123" t="s">
        <v>57</v>
      </c>
      <c r="B15" s="86">
        <f>'База налогов'!H47</f>
        <v>8193</v>
      </c>
      <c r="C15" s="86">
        <v>135351.55672</v>
      </c>
      <c r="D15" s="143">
        <v>1</v>
      </c>
      <c r="E15" s="143">
        <v>1</v>
      </c>
      <c r="F15" s="143">
        <v>1</v>
      </c>
      <c r="G15" s="143">
        <v>1</v>
      </c>
      <c r="H15" s="144">
        <f t="shared" si="0"/>
        <v>16.52039017698035</v>
      </c>
      <c r="I15" s="144">
        <f t="shared" si="1"/>
        <v>16.52039017698035</v>
      </c>
      <c r="J15" s="144">
        <f t="shared" si="2"/>
        <v>16.52039017698035</v>
      </c>
      <c r="W15" s="139"/>
      <c r="X15" s="139"/>
    </row>
    <row r="16" spans="1:24" ht="16.5">
      <c r="A16" s="123" t="s">
        <v>120</v>
      </c>
      <c r="B16" s="86">
        <f>'База налогов'!I47</f>
        <v>3079470</v>
      </c>
      <c r="C16" s="86">
        <v>2625135.71129</v>
      </c>
      <c r="D16" s="143">
        <v>1.1</v>
      </c>
      <c r="E16" s="143">
        <v>1.1</v>
      </c>
      <c r="F16" s="143">
        <v>1.1</v>
      </c>
      <c r="G16" s="143">
        <v>1.1</v>
      </c>
      <c r="H16" s="144">
        <f t="shared" si="0"/>
        <v>1.0314808102241297</v>
      </c>
      <c r="I16" s="144">
        <f t="shared" si="1"/>
        <v>1.1346288912465428</v>
      </c>
      <c r="J16" s="144">
        <f t="shared" si="2"/>
        <v>1.248091780371197</v>
      </c>
      <c r="W16" s="139"/>
      <c r="X16" s="139"/>
    </row>
    <row r="17" spans="1:24" ht="47.25">
      <c r="A17" s="123" t="s">
        <v>130</v>
      </c>
      <c r="B17" s="86">
        <f>SUM('База налогов'!J9:J18)</f>
        <v>57996</v>
      </c>
      <c r="C17" s="86">
        <v>195406.39914</v>
      </c>
      <c r="D17" s="143">
        <v>5.75</v>
      </c>
      <c r="E17" s="143">
        <v>1</v>
      </c>
      <c r="F17" s="143">
        <v>1</v>
      </c>
      <c r="G17" s="143">
        <v>1</v>
      </c>
      <c r="H17" s="144">
        <f t="shared" si="0"/>
        <v>19.373522226619077</v>
      </c>
      <c r="I17" s="144">
        <f t="shared" si="1"/>
        <v>19.373522226619077</v>
      </c>
      <c r="J17" s="144">
        <f t="shared" si="2"/>
        <v>19.373522226619077</v>
      </c>
      <c r="W17" s="139"/>
      <c r="X17" s="139"/>
    </row>
    <row r="18" spans="1:24" ht="47.25">
      <c r="A18" s="123" t="s">
        <v>127</v>
      </c>
      <c r="B18" s="86">
        <f>SUM('База налогов'!J20:J46)</f>
        <v>9032</v>
      </c>
      <c r="C18" s="86">
        <v>107030.23119</v>
      </c>
      <c r="D18" s="143">
        <v>3.4</v>
      </c>
      <c r="E18" s="143">
        <v>1</v>
      </c>
      <c r="F18" s="143">
        <v>1</v>
      </c>
      <c r="G18" s="143">
        <v>1</v>
      </c>
      <c r="H18" s="144">
        <f>C18/B18*D18*E18</f>
        <v>40.29038818046944</v>
      </c>
      <c r="I18" s="144">
        <f t="shared" si="1"/>
        <v>40.29038818046944</v>
      </c>
      <c r="J18" s="144">
        <f t="shared" si="2"/>
        <v>40.29038818046944</v>
      </c>
      <c r="W18" s="139"/>
      <c r="X18" s="139"/>
    </row>
    <row r="19" spans="1:24" ht="15.75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W19" s="139"/>
      <c r="X19" s="139"/>
    </row>
    <row r="20" spans="1:10" ht="15.75">
      <c r="A20" s="241" t="s">
        <v>166</v>
      </c>
      <c r="B20" s="241"/>
      <c r="C20" s="241"/>
      <c r="D20" s="241"/>
      <c r="E20" s="241"/>
      <c r="F20" s="241"/>
      <c r="G20" s="241"/>
      <c r="H20" s="241"/>
      <c r="I20" s="241"/>
      <c r="J20" s="241"/>
    </row>
    <row r="22" spans="7:10" ht="15.75">
      <c r="G22" s="130"/>
      <c r="H22" s="130"/>
      <c r="I22" s="130"/>
      <c r="J22" s="130"/>
    </row>
    <row r="23" spans="7:10" ht="15.75">
      <c r="G23" s="130"/>
      <c r="H23" s="130"/>
      <c r="I23" s="130"/>
      <c r="J23" s="130"/>
    </row>
  </sheetData>
  <sheetProtection/>
  <mergeCells count="13">
    <mergeCell ref="I4:I6"/>
    <mergeCell ref="D5:D6"/>
    <mergeCell ref="C4:C6"/>
    <mergeCell ref="E5:G5"/>
    <mergeCell ref="D4:G4"/>
    <mergeCell ref="J4:J6"/>
    <mergeCell ref="A20:J20"/>
    <mergeCell ref="A2:J2"/>
    <mergeCell ref="I1:J1"/>
    <mergeCell ref="A19:J19"/>
    <mergeCell ref="B4:B6"/>
    <mergeCell ref="A4:A6"/>
    <mergeCell ref="H4:H6"/>
  </mergeCells>
  <printOptions gridLines="1" horizontalCentered="1"/>
  <pageMargins left="0.2362204724409449" right="0.35433070866141736" top="0.35433070866141736" bottom="0.1968503937007874" header="0.2362204724409449" footer="0.2362204724409449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rgb="FF003300"/>
    <pageSetUpPr fitToPage="1"/>
  </sheetPr>
  <dimension ref="A1:R49"/>
  <sheetViews>
    <sheetView view="pageBreakPreview" zoomScale="90" zoomScaleNormal="75" zoomScaleSheetLayoutView="90" zoomScalePageLayoutView="0" workbookViewId="0" topLeftCell="A1">
      <pane xSplit="1" ySplit="5" topLeftCell="B6" activePane="bottomRight" state="frozen"/>
      <selection pane="topLeft" activeCell="F3" sqref="F3"/>
      <selection pane="topRight" activeCell="F3" sqref="F3"/>
      <selection pane="bottomLeft" activeCell="F3" sqref="F3"/>
      <selection pane="bottomRight" activeCell="K1" sqref="K1"/>
    </sheetView>
  </sheetViews>
  <sheetFormatPr defaultColWidth="9.00390625" defaultRowHeight="12.75"/>
  <cols>
    <col min="1" max="1" width="24.75390625" style="40" customWidth="1"/>
    <col min="2" max="2" width="17.75390625" style="40" customWidth="1"/>
    <col min="3" max="3" width="11.75390625" style="40" customWidth="1"/>
    <col min="4" max="4" width="18.75390625" style="40" customWidth="1"/>
    <col min="5" max="5" width="13.625" style="40" customWidth="1"/>
    <col min="6" max="6" width="11.25390625" style="40" customWidth="1"/>
    <col min="7" max="7" width="11.125" style="40" customWidth="1"/>
    <col min="8" max="8" width="15.00390625" style="40" customWidth="1"/>
    <col min="9" max="9" width="18.625" style="40" customWidth="1"/>
    <col min="10" max="10" width="14.875" style="40" customWidth="1"/>
    <col min="11" max="11" width="19.75390625" style="40" customWidth="1"/>
    <col min="12" max="16384" width="9.125" style="40" customWidth="1"/>
  </cols>
  <sheetData>
    <row r="1" spans="1:11" ht="15.75">
      <c r="A1" s="52"/>
      <c r="B1" s="52"/>
      <c r="C1" s="52"/>
      <c r="D1" s="52"/>
      <c r="E1" s="52"/>
      <c r="F1" s="52"/>
      <c r="H1" s="52"/>
      <c r="I1" s="52"/>
      <c r="J1" s="52"/>
      <c r="K1" s="124" t="s">
        <v>189</v>
      </c>
    </row>
    <row r="2" spans="1:11" ht="10.5" customHeight="1">
      <c r="A2" s="248"/>
      <c r="B2" s="248"/>
      <c r="C2" s="248"/>
      <c r="D2" s="248"/>
      <c r="E2" s="248"/>
      <c r="F2" s="248"/>
      <c r="G2" s="248"/>
      <c r="H2" s="52"/>
      <c r="I2" s="52"/>
      <c r="J2" s="52"/>
      <c r="K2" s="52"/>
    </row>
    <row r="3" spans="1:11" s="46" customFormat="1" ht="15.75">
      <c r="A3" s="249" t="s">
        <v>148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</row>
    <row r="4" spans="1:11" s="46" customFormat="1" ht="15.7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40" t="s">
        <v>162</v>
      </c>
    </row>
    <row r="5" spans="1:11" s="46" customFormat="1" ht="113.25" customHeight="1">
      <c r="A5" s="50" t="s">
        <v>49</v>
      </c>
      <c r="B5" s="50" t="s">
        <v>97</v>
      </c>
      <c r="C5" s="51" t="s">
        <v>96</v>
      </c>
      <c r="D5" s="50" t="s">
        <v>95</v>
      </c>
      <c r="E5" s="49" t="s">
        <v>94</v>
      </c>
      <c r="F5" s="49" t="s">
        <v>93</v>
      </c>
      <c r="G5" s="50" t="s">
        <v>113</v>
      </c>
      <c r="H5" s="49" t="s">
        <v>92</v>
      </c>
      <c r="I5" s="49" t="s">
        <v>57</v>
      </c>
      <c r="J5" s="49" t="s">
        <v>114</v>
      </c>
      <c r="K5" s="49" t="s">
        <v>126</v>
      </c>
    </row>
    <row r="6" spans="1:11" s="46" customFormat="1" ht="15.75">
      <c r="A6" s="48" t="s">
        <v>38</v>
      </c>
      <c r="B6" s="48" t="s">
        <v>141</v>
      </c>
      <c r="C6" s="48" t="s">
        <v>40</v>
      </c>
      <c r="D6" s="48" t="s">
        <v>142</v>
      </c>
      <c r="E6" s="48" t="s">
        <v>42</v>
      </c>
      <c r="F6" s="48" t="s">
        <v>46</v>
      </c>
      <c r="G6" s="48" t="s">
        <v>43</v>
      </c>
      <c r="H6" s="48" t="s">
        <v>45</v>
      </c>
      <c r="I6" s="48" t="s">
        <v>51</v>
      </c>
      <c r="J6" s="48" t="s">
        <v>52</v>
      </c>
      <c r="K6" s="48" t="s">
        <v>53</v>
      </c>
    </row>
    <row r="7" spans="1:9" s="47" customFormat="1" ht="15.75">
      <c r="A7" s="67" t="s">
        <v>116</v>
      </c>
      <c r="B7" s="82"/>
      <c r="C7" s="82"/>
      <c r="D7" s="82"/>
      <c r="E7" s="82"/>
      <c r="F7" s="82"/>
      <c r="G7" s="82"/>
      <c r="H7" s="82"/>
      <c r="I7" s="82"/>
    </row>
    <row r="8" spans="1:11" s="46" customFormat="1" ht="15.75">
      <c r="A8" s="73" t="s">
        <v>0</v>
      </c>
      <c r="B8" s="82">
        <f>D8-C8</f>
        <v>14722155.020252645</v>
      </c>
      <c r="C8" s="83"/>
      <c r="D8" s="82">
        <f>SUM(E8:K8)</f>
        <v>14722155.020252645</v>
      </c>
      <c r="E8" s="82">
        <f>'Репрез.ставки'!$H$8*'База налогов'!B9</f>
        <v>10180247.861655965</v>
      </c>
      <c r="F8" s="82">
        <f>'Репрез.ставки'!$H$10*'База налогов'!E9</f>
        <v>0</v>
      </c>
      <c r="G8" s="82">
        <f>'Репрез.ставки'!$H$12*'База налогов'!F9</f>
        <v>2598.0247415270137</v>
      </c>
      <c r="H8" s="82">
        <f>'Репрез.ставки'!$H$13*'База налогов'!G9</f>
        <v>1976941.950705702</v>
      </c>
      <c r="I8" s="82">
        <f>'Репрез.ставки'!$H$15*'База налогов'!H9</f>
        <v>62414.03408863176</v>
      </c>
      <c r="J8" s="82">
        <f>'Репрез.ставки'!$H$16*'База налогов'!I9</f>
        <v>1639667.6829525323</v>
      </c>
      <c r="K8" s="82">
        <f>'База налогов'!J9*'Репрез.ставки'!C17/'Репрез.ставки'!B17*7.5*1</f>
        <v>860285.4661082868</v>
      </c>
    </row>
    <row r="9" spans="1:18" ht="15.75">
      <c r="A9" s="73" t="s">
        <v>1</v>
      </c>
      <c r="B9" s="82">
        <f aca="true" t="shared" si="0" ref="B9:B45">D9-C9</f>
        <v>6063645.88641228</v>
      </c>
      <c r="C9" s="83"/>
      <c r="D9" s="82">
        <f aca="true" t="shared" si="1" ref="D9:D44">SUM(E9:K9)</f>
        <v>6063645.88641228</v>
      </c>
      <c r="E9" s="82">
        <f>'Репрез.ставки'!$H$8*'База налогов'!B10</f>
        <v>4063853.7654659185</v>
      </c>
      <c r="F9" s="82">
        <f>'Репрез.ставки'!$H$10*'База налогов'!E10</f>
        <v>0</v>
      </c>
      <c r="G9" s="82">
        <f>'Репрез.ставки'!$H$12*'База налогов'!F10</f>
        <v>3618.0957780749923</v>
      </c>
      <c r="H9" s="82">
        <f>'Репрез.ставки'!$H$13*'База налогов'!G10</f>
        <v>821042.7942252534</v>
      </c>
      <c r="I9" s="82">
        <f>'Репрез.ставки'!$H$15*'База налогов'!H10</f>
        <v>34246.76883688026</v>
      </c>
      <c r="J9" s="82">
        <f>'Репрез.ставки'!$H$16*'База налогов'!I10</f>
        <v>826084.0994458193</v>
      </c>
      <c r="K9" s="82">
        <f>'Репрез.ставки'!$H$17*'База налогов'!J10</f>
        <v>314800.3626603334</v>
      </c>
      <c r="L9" s="46"/>
      <c r="M9" s="46"/>
      <c r="N9" s="46"/>
      <c r="O9" s="46"/>
      <c r="P9" s="46"/>
      <c r="Q9" s="46"/>
      <c r="R9" s="46"/>
    </row>
    <row r="10" spans="1:18" ht="15.75">
      <c r="A10" s="73" t="s">
        <v>2</v>
      </c>
      <c r="B10" s="82">
        <f t="shared" si="0"/>
        <v>1316631.810260702</v>
      </c>
      <c r="C10" s="83"/>
      <c r="D10" s="82">
        <f t="shared" si="1"/>
        <v>1316631.810260702</v>
      </c>
      <c r="E10" s="82">
        <f>'Репрез.ставки'!$H$8*'База налогов'!B11</f>
        <v>923523.7608129306</v>
      </c>
      <c r="F10" s="82">
        <f>'Репрез.ставки'!$H$10*'База налогов'!E11</f>
        <v>0</v>
      </c>
      <c r="G10" s="82">
        <f>'Репрез.ставки'!$H$12*'База налогов'!F11</f>
        <v>599.4829166307431</v>
      </c>
      <c r="H10" s="82">
        <f>'Репрез.ставки'!$H$13*'База налогов'!G11</f>
        <v>229388.7697307638</v>
      </c>
      <c r="I10" s="82">
        <f>'Репрез.ставки'!$H$15*'База налогов'!H11</f>
        <v>6756.839582384963</v>
      </c>
      <c r="J10" s="82">
        <f>'Репрез.ставки'!$H$16*'База налогов'!I11</f>
        <v>106786.11384007348</v>
      </c>
      <c r="K10" s="82">
        <f>'Репрез.ставки'!$H$17*'База налогов'!J11</f>
        <v>49576.843377918216</v>
      </c>
      <c r="L10" s="46"/>
      <c r="M10" s="46"/>
      <c r="N10" s="46"/>
      <c r="O10" s="46"/>
      <c r="P10" s="46"/>
      <c r="Q10" s="46"/>
      <c r="R10" s="46"/>
    </row>
    <row r="11" spans="1:18" ht="15.75">
      <c r="A11" s="73" t="s">
        <v>11</v>
      </c>
      <c r="B11" s="82">
        <f t="shared" si="0"/>
        <v>1007383.6458694441</v>
      </c>
      <c r="C11" s="83"/>
      <c r="D11" s="82">
        <f t="shared" si="1"/>
        <v>1007383.6458694441</v>
      </c>
      <c r="E11" s="82">
        <f>'Репрез.ставки'!$H$8*'База налогов'!B12</f>
        <v>700062.3586647336</v>
      </c>
      <c r="F11" s="82">
        <f>'Репрез.ставки'!$H$10*'База налогов'!E12</f>
        <v>0</v>
      </c>
      <c r="G11" s="82">
        <f>'Репрез.ставки'!$H$12*'База налогов'!F12</f>
        <v>344.2248920338492</v>
      </c>
      <c r="H11" s="82">
        <f>'Репрез.ставки'!$H$13*'База налогов'!G12</f>
        <v>176206.33380505184</v>
      </c>
      <c r="I11" s="82">
        <f>'Репрез.ставки'!$H$15*'База налогов'!H12</f>
        <v>4675.270420085439</v>
      </c>
      <c r="J11" s="82">
        <f>'Репрез.ставки'!$H$16*'База налогов'!I12</f>
        <v>95136.56956940216</v>
      </c>
      <c r="K11" s="82">
        <f>'Репрез.ставки'!$H$17*'База налогов'!J12</f>
        <v>30958.888518137286</v>
      </c>
      <c r="L11" s="46"/>
      <c r="M11" s="46"/>
      <c r="N11" s="46"/>
      <c r="O11" s="46"/>
      <c r="P11" s="46"/>
      <c r="Q11" s="46"/>
      <c r="R11" s="46"/>
    </row>
    <row r="12" spans="1:18" ht="15.75">
      <c r="A12" s="73" t="s">
        <v>3</v>
      </c>
      <c r="B12" s="82">
        <f t="shared" si="0"/>
        <v>327415.47454191616</v>
      </c>
      <c r="C12" s="83"/>
      <c r="D12" s="82">
        <f t="shared" si="1"/>
        <v>327415.47454191616</v>
      </c>
      <c r="E12" s="82">
        <f>'Репрез.ставки'!$H$8*'База налогов'!B13</f>
        <v>228469.8479441036</v>
      </c>
      <c r="F12" s="82">
        <f>'Репрез.ставки'!$H$10*'База налогов'!E13</f>
        <v>0</v>
      </c>
      <c r="G12" s="82">
        <f>'Репрез.ставки'!$H$12*'База налогов'!F13</f>
        <v>47.31170141786233</v>
      </c>
      <c r="H12" s="82">
        <f>'Репрез.ставки'!$H$13*'База налогов'!G13</f>
        <v>52392.830117958554</v>
      </c>
      <c r="I12" s="82">
        <f>'Репрез.ставки'!$H$15*'База налогов'!H13</f>
        <v>561.6932660173319</v>
      </c>
      <c r="J12" s="82">
        <f>'Репрез.ставки'!$H$16*'База налогов'!I13</f>
        <v>33273.50797620998</v>
      </c>
      <c r="K12" s="82">
        <f>'Репрез.ставки'!$H$17*'База налогов'!J13</f>
        <v>12670.283536208875</v>
      </c>
      <c r="L12" s="46"/>
      <c r="M12" s="46"/>
      <c r="N12" s="46"/>
      <c r="O12" s="46"/>
      <c r="P12" s="46"/>
      <c r="Q12" s="46"/>
      <c r="R12" s="46"/>
    </row>
    <row r="13" spans="1:18" ht="15.75">
      <c r="A13" s="73" t="s">
        <v>4</v>
      </c>
      <c r="B13" s="82">
        <f t="shared" si="0"/>
        <v>380535.57743731595</v>
      </c>
      <c r="C13" s="83"/>
      <c r="D13" s="82">
        <f t="shared" si="1"/>
        <v>380535.57743731595</v>
      </c>
      <c r="E13" s="82">
        <f>'Репрез.ставки'!$H$8*'База налогов'!B14</f>
        <v>287841.1396541465</v>
      </c>
      <c r="F13" s="82">
        <f>'Репрез.ставки'!$H$10*'База налогов'!E14</f>
        <v>0</v>
      </c>
      <c r="G13" s="82">
        <f>'Репрез.ставки'!$H$12*'База налогов'!F14</f>
        <v>386.42923624699745</v>
      </c>
      <c r="H13" s="82">
        <f>'Репрез.ставки'!$H$13*'База налогов'!G14</f>
        <v>52479.33704794552</v>
      </c>
      <c r="I13" s="82">
        <f>'Репрез.ставки'!$H$15*'База налогов'!H14</f>
        <v>1205.9884829195655</v>
      </c>
      <c r="J13" s="82">
        <f>'Репрез.ставки'!$H$16*'База налогов'!I14</f>
        <v>27405.413646844903</v>
      </c>
      <c r="K13" s="82">
        <f>'Репрез.ставки'!$H$17*'База налогов'!J14</f>
        <v>11217.269369212445</v>
      </c>
      <c r="L13" s="46"/>
      <c r="M13" s="46"/>
      <c r="N13" s="46"/>
      <c r="O13" s="46"/>
      <c r="P13" s="46"/>
      <c r="Q13" s="46"/>
      <c r="R13" s="46"/>
    </row>
    <row r="14" spans="1:18" ht="15.75">
      <c r="A14" s="73" t="s">
        <v>56</v>
      </c>
      <c r="B14" s="82">
        <f t="shared" si="0"/>
        <v>339634.1604711783</v>
      </c>
      <c r="C14" s="83"/>
      <c r="D14" s="82">
        <f t="shared" si="1"/>
        <v>339634.1604711783</v>
      </c>
      <c r="E14" s="82">
        <f>'Репрез.ставки'!$H$8*'База налогов'!B15</f>
        <v>238077.57036210955</v>
      </c>
      <c r="F14" s="82">
        <f>'Репрез.ставки'!$H$10*'База налогов'!E15</f>
        <v>0</v>
      </c>
      <c r="G14" s="82">
        <f>'Репрез.ставки'!$H$12*'База налогов'!F15</f>
        <v>4.613096830064348</v>
      </c>
      <c r="H14" s="82">
        <f>'Репрез.ставки'!$H$13*'База налогов'!G15</f>
        <v>51030.80611390841</v>
      </c>
      <c r="I14" s="82">
        <f>'Репрез.ставки'!$H$15*'База налогов'!H15</f>
        <v>892.1010695569389</v>
      </c>
      <c r="J14" s="82">
        <f>'Репрез.ставки'!$H$16*'База налогов'!I15</f>
        <v>33471.55229177301</v>
      </c>
      <c r="K14" s="82">
        <f>'Репрез.ставки'!$H$17*'База налогов'!J15</f>
        <v>16157.51753700031</v>
      </c>
      <c r="L14" s="46"/>
      <c r="M14" s="46"/>
      <c r="N14" s="46"/>
      <c r="O14" s="46"/>
      <c r="P14" s="46"/>
      <c r="Q14" s="46"/>
      <c r="R14" s="46"/>
    </row>
    <row r="15" spans="1:18" ht="15.75">
      <c r="A15" s="73" t="s">
        <v>5</v>
      </c>
      <c r="B15" s="82">
        <f t="shared" si="0"/>
        <v>104059.18578974533</v>
      </c>
      <c r="C15" s="83"/>
      <c r="D15" s="82">
        <f t="shared" si="1"/>
        <v>104059.18578974533</v>
      </c>
      <c r="E15" s="82">
        <f>'Репрез.ставки'!$H$8*'База налогов'!B16</f>
        <v>65276.49056343249</v>
      </c>
      <c r="F15" s="82">
        <f>'Репрез.ставки'!$H$10*'База налогов'!E16</f>
        <v>0</v>
      </c>
      <c r="G15" s="82">
        <f>'Репрез.ставки'!$H$12*'База налогов'!F16</f>
        <v>0</v>
      </c>
      <c r="H15" s="82">
        <f>'Репрез.ставки'!$H$13*'База налогов'!G16</f>
        <v>28055.853910454487</v>
      </c>
      <c r="I15" s="82">
        <f>'Репрез.ставки'!$H$15*'База налогов'!H16</f>
        <v>214.76507230074455</v>
      </c>
      <c r="J15" s="82">
        <f>'Репрез.ставки'!$H$16*'База налогов'!I16</f>
        <v>7509.180298431665</v>
      </c>
      <c r="K15" s="82">
        <f>'Репрез.ставки'!$H$17*'База налогов'!J16</f>
        <v>3002.895945125957</v>
      </c>
      <c r="L15" s="46"/>
      <c r="M15" s="46"/>
      <c r="N15" s="46"/>
      <c r="O15" s="46"/>
      <c r="P15" s="46"/>
      <c r="Q15" s="46"/>
      <c r="R15" s="46"/>
    </row>
    <row r="16" spans="1:18" ht="15.75">
      <c r="A16" s="73" t="s">
        <v>6</v>
      </c>
      <c r="B16" s="82">
        <f t="shared" si="0"/>
        <v>375885.8103187722</v>
      </c>
      <c r="C16" s="83"/>
      <c r="D16" s="82">
        <f t="shared" si="1"/>
        <v>375885.8103187722</v>
      </c>
      <c r="E16" s="82">
        <f>'Репрез.ставки'!$H$8*'База налогов'!B17</f>
        <v>229074.9769968533</v>
      </c>
      <c r="F16" s="82">
        <f>'Репрез.ставки'!$H$10*'База налогов'!E17</f>
        <v>0</v>
      </c>
      <c r="G16" s="82">
        <f>'Репрез.ставки'!$H$12*'База налогов'!F17</f>
        <v>547.0638580081667</v>
      </c>
      <c r="H16" s="82">
        <f>'Репрез.ставки'!$H$13*'База налогов'!G17</f>
        <v>77705.31000403907</v>
      </c>
      <c r="I16" s="82">
        <f>'Репрез.ставки'!$H$15*'База налогов'!H17</f>
        <v>1338.1516043354084</v>
      </c>
      <c r="J16" s="82">
        <f>'Репрез.ставки'!$H$16*'База налогов'!I17</f>
        <v>49047.94400696759</v>
      </c>
      <c r="K16" s="82">
        <f>'Репрез.ставки'!$H$17*'База налогов'!J17</f>
        <v>18172.363848568693</v>
      </c>
      <c r="L16" s="46"/>
      <c r="M16" s="46"/>
      <c r="N16" s="46"/>
      <c r="O16" s="46"/>
      <c r="P16" s="46"/>
      <c r="Q16" s="46"/>
      <c r="R16" s="46"/>
    </row>
    <row r="17" spans="1:18" ht="15.75">
      <c r="A17" s="73" t="s">
        <v>13</v>
      </c>
      <c r="B17" s="82">
        <f t="shared" si="0"/>
        <v>162399.36842552005</v>
      </c>
      <c r="C17" s="83"/>
      <c r="D17" s="82">
        <f t="shared" si="1"/>
        <v>162399.36842552005</v>
      </c>
      <c r="E17" s="82">
        <f>'Репрез.ставки'!$H$8*'База налогов'!B18</f>
        <v>109930.75746980791</v>
      </c>
      <c r="F17" s="82">
        <f>'Репрез.ставки'!$H$10*'База налогов'!E18</f>
        <v>0</v>
      </c>
      <c r="G17" s="82">
        <f>'Репрез.ставки'!$H$12*'База налогов'!F18</f>
        <v>754.8454277289817</v>
      </c>
      <c r="H17" s="82">
        <f>'Репрез.ставки'!$H$13*'База налогов'!G18</f>
        <v>27631.601838922652</v>
      </c>
      <c r="I17" s="82">
        <f>'Репрез.ставки'!$H$15*'База налогов'!H18</f>
        <v>1255.5496534505066</v>
      </c>
      <c r="J17" s="82">
        <f>'Репрез.ставки'!$H$16*'База налогов'!I18</f>
        <v>15348.43445613505</v>
      </c>
      <c r="K17" s="82">
        <f>'Репрез.ставки'!$H$17*'База налогов'!J18</f>
        <v>7478.179579474963</v>
      </c>
      <c r="L17" s="46"/>
      <c r="M17" s="46"/>
      <c r="N17" s="46"/>
      <c r="O17" s="46"/>
      <c r="P17" s="46"/>
      <c r="Q17" s="46"/>
      <c r="R17" s="46"/>
    </row>
    <row r="18" spans="1:18" ht="15.75">
      <c r="A18" s="73" t="s">
        <v>101</v>
      </c>
      <c r="B18" s="82"/>
      <c r="C18" s="83"/>
      <c r="D18" s="82"/>
      <c r="E18" s="82"/>
      <c r="F18" s="82"/>
      <c r="G18" s="82"/>
      <c r="H18" s="82"/>
      <c r="I18" s="82"/>
      <c r="J18" s="82"/>
      <c r="K18" s="82"/>
      <c r="L18" s="46"/>
      <c r="M18" s="46"/>
      <c r="N18" s="46"/>
      <c r="O18" s="46"/>
      <c r="P18" s="46"/>
      <c r="Q18" s="46"/>
      <c r="R18" s="46"/>
    </row>
    <row r="19" spans="1:18" ht="15.75">
      <c r="A19" s="73" t="s">
        <v>14</v>
      </c>
      <c r="B19" s="82">
        <f t="shared" si="0"/>
        <v>53980.283833847054</v>
      </c>
      <c r="C19" s="83"/>
      <c r="D19" s="82">
        <f>SUM(E19:K19)</f>
        <v>53980.283833847054</v>
      </c>
      <c r="E19" s="82">
        <f>'Репрез.ставки'!$H$9*'База налогов'!B20</f>
        <v>36588.720370166586</v>
      </c>
      <c r="F19" s="82">
        <f>'Репрез.ставки'!$H$11*'База налогов'!E20</f>
        <v>0</v>
      </c>
      <c r="G19" s="82">
        <f>'Репрез.ставки'!$H$12*'База налогов'!F20</f>
        <v>1801.990949243886</v>
      </c>
      <c r="H19" s="82">
        <f>'Репрез.ставки'!$H$14*'База налогов'!G20</f>
        <v>7303.75871006461</v>
      </c>
      <c r="I19" s="82">
        <f>'Репрез.ставки'!$H$15*'База налогов'!H20</f>
        <v>99.1223410618821</v>
      </c>
      <c r="J19" s="82">
        <f>'Репрез.ставки'!$H$16*'База налогов'!I20</f>
        <v>2989.231388029528</v>
      </c>
      <c r="K19" s="82">
        <f>'Репрез.ставки'!$H$18*'База налогов'!J20</f>
        <v>5197.460075280558</v>
      </c>
      <c r="L19" s="46"/>
      <c r="M19" s="46"/>
      <c r="N19" s="46"/>
      <c r="O19" s="46"/>
      <c r="P19" s="46"/>
      <c r="Q19" s="46"/>
      <c r="R19" s="46"/>
    </row>
    <row r="20" spans="1:18" ht="15.75">
      <c r="A20" s="73" t="s">
        <v>91</v>
      </c>
      <c r="B20" s="82">
        <f t="shared" si="0"/>
        <v>287363.548069645</v>
      </c>
      <c r="C20" s="83"/>
      <c r="D20" s="82">
        <f t="shared" si="1"/>
        <v>287363.548069645</v>
      </c>
      <c r="E20" s="82">
        <f>'Репрез.ставки'!$H$9*'База налогов'!B21</f>
        <v>194833.6370707976</v>
      </c>
      <c r="F20" s="82">
        <f>'Репрез.ставки'!$H$11*'База налогов'!E21</f>
        <v>0</v>
      </c>
      <c r="G20" s="82">
        <f>'Репрез.ставки'!$H$12*'База налогов'!F21</f>
        <v>2249.296588301911</v>
      </c>
      <c r="H20" s="82">
        <f>'Репрез.ставки'!$H$14*'База налогов'!G21</f>
        <v>51194.15046631173</v>
      </c>
      <c r="I20" s="82">
        <f>'Репрез.ставки'!$H$15*'База налогов'!H21</f>
        <v>1404.2331650433298</v>
      </c>
      <c r="J20" s="82">
        <f>'Репрез.ставки'!$H$16*'База налогов'!I21</f>
        <v>21646.656283363587</v>
      </c>
      <c r="K20" s="82">
        <f>'Репрез.ставки'!$H$18*'База налогов'!J21</f>
        <v>16035.574495826839</v>
      </c>
      <c r="L20" s="46"/>
      <c r="M20" s="46"/>
      <c r="N20" s="46"/>
      <c r="O20" s="46"/>
      <c r="P20" s="46"/>
      <c r="Q20" s="46"/>
      <c r="R20" s="46"/>
    </row>
    <row r="21" spans="1:18" ht="15.75">
      <c r="A21" s="73" t="s">
        <v>16</v>
      </c>
      <c r="B21" s="82">
        <f t="shared" si="0"/>
        <v>96386.56472434248</v>
      </c>
      <c r="C21" s="83"/>
      <c r="D21" s="82">
        <f t="shared" si="1"/>
        <v>96386.56472434248</v>
      </c>
      <c r="E21" s="82">
        <f>'Репрез.ставки'!$H$9*'База налогов'!B22</f>
        <v>70672.98228905658</v>
      </c>
      <c r="F21" s="82">
        <f>'Репрез.ставки'!$H$11*'База налогов'!E22</f>
        <v>0</v>
      </c>
      <c r="G21" s="82">
        <f>'Репрез.ставки'!$H$12*'База налогов'!F22</f>
        <v>2949.416408993284</v>
      </c>
      <c r="H21" s="82">
        <f>'Репрез.ставки'!$H$14*'База налогов'!G22</f>
        <v>10802.338425102796</v>
      </c>
      <c r="I21" s="82">
        <f>'Репрез.ставки'!$H$15*'База налогов'!H22</f>
        <v>132.1631214158428</v>
      </c>
      <c r="J21" s="82">
        <f>'Репрез.ставки'!$H$16*'База налогов'!I22</f>
        <v>6108.429358147297</v>
      </c>
      <c r="K21" s="82">
        <f>'Репрез.ставки'!$H$18*'База налогов'!J22</f>
        <v>5721.235121626661</v>
      </c>
      <c r="L21" s="46"/>
      <c r="M21" s="46"/>
      <c r="N21" s="46"/>
      <c r="O21" s="46"/>
      <c r="P21" s="46"/>
      <c r="Q21" s="46"/>
      <c r="R21" s="46"/>
    </row>
    <row r="22" spans="1:18" ht="15.75">
      <c r="A22" s="73" t="s">
        <v>90</v>
      </c>
      <c r="B22" s="82">
        <f t="shared" si="0"/>
        <v>124418.82237995543</v>
      </c>
      <c r="C22" s="83">
        <f>1.535</f>
        <v>1.535</v>
      </c>
      <c r="D22" s="82">
        <f t="shared" si="1"/>
        <v>124420.35737995543</v>
      </c>
      <c r="E22" s="82">
        <f>'Репрез.ставки'!$H$9*'База налогов'!B23</f>
        <v>67231.68874564515</v>
      </c>
      <c r="F22" s="82">
        <f>'Репрез.ставки'!$H$11*'База налогов'!E23</f>
        <v>0</v>
      </c>
      <c r="G22" s="82">
        <f>'Репрез.ставки'!$H$12*'База налогов'!F23</f>
        <v>27164.934615486185</v>
      </c>
      <c r="H22" s="82">
        <f>'Репрез.ставки'!$H$14*'База налогов'!G23</f>
        <v>12242.826421599253</v>
      </c>
      <c r="I22" s="82">
        <f>'Репрез.ставки'!$H$15*'База налогов'!H23</f>
        <v>247.80585265470523</v>
      </c>
      <c r="J22" s="82">
        <f>'Репрез.ставки'!$H$16*'База налогов'!I23</f>
        <v>10240.541483905161</v>
      </c>
      <c r="K22" s="82">
        <f>'Репрез.ставки'!$H$18*'База налогов'!J23</f>
        <v>7292.560260664969</v>
      </c>
      <c r="L22" s="46"/>
      <c r="M22" s="46"/>
      <c r="N22" s="46"/>
      <c r="O22" s="46"/>
      <c r="P22" s="46"/>
      <c r="Q22" s="46"/>
      <c r="R22" s="46"/>
    </row>
    <row r="23" spans="1:18" ht="15.75">
      <c r="A23" s="73" t="s">
        <v>89</v>
      </c>
      <c r="B23" s="82">
        <f t="shared" si="0"/>
        <v>112382.63015973782</v>
      </c>
      <c r="C23" s="83"/>
      <c r="D23" s="82">
        <f t="shared" si="1"/>
        <v>112382.63015973782</v>
      </c>
      <c r="E23" s="82">
        <f>'Репрез.ставки'!$H$9*'База налогов'!B24</f>
        <v>78359.68966628305</v>
      </c>
      <c r="F23" s="82">
        <f>'Репрез.ставки'!$H$11*'База налогов'!E24</f>
        <v>0</v>
      </c>
      <c r="G23" s="82">
        <f>'Репрез.ставки'!$H$12*'База налогов'!F24</f>
        <v>5271.094683271681</v>
      </c>
      <c r="H23" s="82">
        <f>'Репрез.ставки'!$H$14*'База налогов'!G24</f>
        <v>11492.18680507633</v>
      </c>
      <c r="I23" s="82">
        <f>'Репрез.ставки'!$H$15*'База налогов'!H24</f>
        <v>115.64273123886244</v>
      </c>
      <c r="J23" s="82">
        <f>'Репрез.ставки'!$H$16*'База налогов'!I24</f>
        <v>9327.680966856806</v>
      </c>
      <c r="K23" s="82">
        <f>'Репрез.ставки'!$H$18*'База налогов'!J24</f>
        <v>7816.335307011072</v>
      </c>
      <c r="L23" s="46"/>
      <c r="M23" s="46"/>
      <c r="N23" s="46"/>
      <c r="O23" s="46"/>
      <c r="P23" s="46"/>
      <c r="Q23" s="46"/>
      <c r="R23" s="46"/>
    </row>
    <row r="24" spans="1:18" ht="15.75">
      <c r="A24" s="73" t="s">
        <v>88</v>
      </c>
      <c r="B24" s="82">
        <f t="shared" si="0"/>
        <v>97734.85169438299</v>
      </c>
      <c r="C24" s="83"/>
      <c r="D24" s="82">
        <f t="shared" si="1"/>
        <v>97734.85169438299</v>
      </c>
      <c r="E24" s="82">
        <f>'Репрез.ставки'!$H$9*'База налогов'!B25</f>
        <v>62588.44344390472</v>
      </c>
      <c r="F24" s="82">
        <f>'Репрез.ставки'!$H$11*'База налогов'!E25</f>
        <v>0</v>
      </c>
      <c r="G24" s="82">
        <f>'Репрез.ставки'!$H$12*'База налогов'!F25</f>
        <v>4867.833135376889</v>
      </c>
      <c r="H24" s="82">
        <f>'Репрез.ставки'!$H$14*'База налогов'!G25</f>
        <v>10360.941185809386</v>
      </c>
      <c r="I24" s="82">
        <f>'Репрез.ставки'!$H$15*'База налогов'!H25</f>
        <v>1255.5496534505066</v>
      </c>
      <c r="J24" s="82">
        <f>'Репрез.ставки'!$H$16*'База налогов'!I25</f>
        <v>7703.098690753801</v>
      </c>
      <c r="K24" s="82">
        <f>'Репрез.ставки'!$H$18*'База налогов'!J25</f>
        <v>10958.985585087688</v>
      </c>
      <c r="L24" s="46"/>
      <c r="M24" s="46"/>
      <c r="N24" s="46"/>
      <c r="O24" s="46"/>
      <c r="P24" s="46"/>
      <c r="Q24" s="46"/>
      <c r="R24" s="46"/>
    </row>
    <row r="25" spans="1:18" ht="15.75">
      <c r="A25" s="73" t="s">
        <v>8</v>
      </c>
      <c r="B25" s="82">
        <f t="shared" si="0"/>
        <v>1038807.0372091526</v>
      </c>
      <c r="C25" s="84">
        <f>13034.878+5331.837</f>
        <v>18366.715</v>
      </c>
      <c r="D25" s="82">
        <f t="shared" si="1"/>
        <v>1057173.7522091526</v>
      </c>
      <c r="E25" s="82">
        <f>'Репрез.ставки'!$H$9*'База налогов'!B26</f>
        <v>722736.2125907767</v>
      </c>
      <c r="F25" s="82">
        <f>'Репрез.ставки'!$H$11*'База налогов'!E26</f>
        <v>0</v>
      </c>
      <c r="G25" s="82">
        <f>'Репрез.ставки'!$H$12*'База налогов'!F26</f>
        <v>12514.535391583197</v>
      </c>
      <c r="H25" s="82">
        <f>'Репрез.ставки'!$H$14*'База налогов'!G26</f>
        <v>219895.99911777032</v>
      </c>
      <c r="I25" s="82">
        <f>'Репрез.ставки'!$H$15*'База налогов'!H26</f>
        <v>1536.3962864591724</v>
      </c>
      <c r="J25" s="82">
        <f>'Репрез.ставки'!$H$16*'База налогов'!I26</f>
        <v>39692.413058234735</v>
      </c>
      <c r="K25" s="82">
        <f>'Репрез.ставки'!$H$18*'База налогов'!J26</f>
        <v>60798.19576432839</v>
      </c>
      <c r="L25" s="46"/>
      <c r="M25" s="46"/>
      <c r="N25" s="46"/>
      <c r="O25" s="46"/>
      <c r="P25" s="46"/>
      <c r="Q25" s="46"/>
      <c r="R25" s="46"/>
    </row>
    <row r="26" spans="1:18" ht="15.75">
      <c r="A26" s="73" t="s">
        <v>87</v>
      </c>
      <c r="B26" s="82">
        <f t="shared" si="0"/>
        <v>49012.541176265986</v>
      </c>
      <c r="C26" s="84"/>
      <c r="D26" s="82">
        <f t="shared" si="1"/>
        <v>49012.541176265986</v>
      </c>
      <c r="E26" s="82">
        <f>'Репрез.ставки'!$H$9*'База налогов'!B27</f>
        <v>32967.47061733247</v>
      </c>
      <c r="F26" s="82">
        <f>'Репрез.ставки'!$H$11*'База налогов'!E27</f>
        <v>0</v>
      </c>
      <c r="G26" s="82">
        <f>'Репрез.ставки'!$H$12*'База налогов'!F27</f>
        <v>1938.2695180987034</v>
      </c>
      <c r="H26" s="82">
        <f>'Репрез.ставки'!$H$14*'База налогов'!G27</f>
        <v>7363.668914200242</v>
      </c>
      <c r="I26" s="82">
        <f>'Репрез.ставки'!$H$15*'База налогов'!H27</f>
        <v>49.56117053094105</v>
      </c>
      <c r="J26" s="82">
        <f>'Репрез.ставки'!$H$16*'База налогов'!I27</f>
        <v>3188.307184402785</v>
      </c>
      <c r="K26" s="82">
        <f>'Репрез.ставки'!$H$18*'База налогов'!J27</f>
        <v>3505.2637717008415</v>
      </c>
      <c r="L26" s="46"/>
      <c r="M26" s="46"/>
      <c r="N26" s="46"/>
      <c r="O26" s="46"/>
      <c r="P26" s="46"/>
      <c r="Q26" s="46"/>
      <c r="R26" s="46"/>
    </row>
    <row r="27" spans="1:18" ht="15.75">
      <c r="A27" s="73" t="s">
        <v>86</v>
      </c>
      <c r="B27" s="82">
        <f t="shared" si="0"/>
        <v>61967.510612267826</v>
      </c>
      <c r="C27" s="84"/>
      <c r="D27" s="82">
        <f t="shared" si="1"/>
        <v>61967.510612267826</v>
      </c>
      <c r="E27" s="82">
        <f>'Репрез.ставки'!$H$9*'База налогов'!B28</f>
        <v>43721.72345708625</v>
      </c>
      <c r="F27" s="82">
        <f>'Репрез.ставки'!$H$11*'База налогов'!E28</f>
        <v>0</v>
      </c>
      <c r="G27" s="82">
        <f>'Репрез.ставки'!$H$12*'База налогов'!F28</f>
        <v>1856.2772137262502</v>
      </c>
      <c r="H27" s="82">
        <f>'Репрез.ставки'!$H$14*'База налогов'!G28</f>
        <v>9083.4441858584</v>
      </c>
      <c r="I27" s="82">
        <f>'Репрез.ставки'!$H$15*'База налогов'!H28</f>
        <v>165.2039017698035</v>
      </c>
      <c r="J27" s="82">
        <f>'Репрез.ставки'!$H$16*'База налогов'!I28</f>
        <v>2547.7576012536006</v>
      </c>
      <c r="K27" s="82">
        <f>'Репрез.ставки'!$H$18*'База налогов'!J28</f>
        <v>4593.1042525735165</v>
      </c>
      <c r="L27" s="46"/>
      <c r="M27" s="46"/>
      <c r="N27" s="46"/>
      <c r="O27" s="46"/>
      <c r="P27" s="46"/>
      <c r="Q27" s="46"/>
      <c r="R27" s="46"/>
    </row>
    <row r="28" spans="1:18" ht="15.75">
      <c r="A28" s="73" t="s">
        <v>85</v>
      </c>
      <c r="B28" s="82">
        <f t="shared" si="0"/>
        <v>253831.73297592337</v>
      </c>
      <c r="C28" s="84"/>
      <c r="D28" s="82">
        <f t="shared" si="1"/>
        <v>253831.73297592337</v>
      </c>
      <c r="E28" s="82">
        <f>'Репрез.ставки'!$H$9*'База налогов'!B29</f>
        <v>175309.55286801953</v>
      </c>
      <c r="F28" s="82">
        <f>'Репрез.ставки'!$H$11*'База налогов'!E29</f>
        <v>0</v>
      </c>
      <c r="G28" s="82">
        <f>'Репрез.ставки'!$H$12*'База налогов'!F29</f>
        <v>9737.56093552327</v>
      </c>
      <c r="H28" s="82">
        <f>'Репрез.ставки'!$H$14*'База налогов'!G29</f>
        <v>46282.39475960363</v>
      </c>
      <c r="I28" s="82">
        <f>'Репрез.ставки'!$H$15*'База налогов'!H29</f>
        <v>429.5301446014891</v>
      </c>
      <c r="J28" s="82">
        <f>'Репрез.ставки'!$H$16*'База налогов'!I29</f>
        <v>10106.448978576023</v>
      </c>
      <c r="K28" s="82">
        <f>'Репрез.ставки'!$H$18*'База налогов'!J29</f>
        <v>11966.245289599425</v>
      </c>
      <c r="L28" s="46"/>
      <c r="M28" s="46"/>
      <c r="N28" s="46"/>
      <c r="O28" s="46"/>
      <c r="P28" s="46"/>
      <c r="Q28" s="46"/>
      <c r="R28" s="46"/>
    </row>
    <row r="29" spans="1:18" ht="15.75">
      <c r="A29" s="73" t="s">
        <v>84</v>
      </c>
      <c r="B29" s="82">
        <f t="shared" si="0"/>
        <v>254269.90690891127</v>
      </c>
      <c r="C29" s="84"/>
      <c r="D29" s="82">
        <f t="shared" si="1"/>
        <v>254269.90690891127</v>
      </c>
      <c r="E29" s="82">
        <f>'Репрез.ставки'!$H$9*'База налогов'!B30</f>
        <v>177181.6781553245</v>
      </c>
      <c r="F29" s="82">
        <f>'Репрез.ставки'!$H$11*'База налогов'!E30</f>
        <v>0</v>
      </c>
      <c r="G29" s="82">
        <f>'Репрез.ставки'!$H$12*'База налогов'!F30</f>
        <v>7232.182555333381</v>
      </c>
      <c r="H29" s="82">
        <f>'Репрез.ставки'!$H$14*'База налогов'!G30</f>
        <v>30627.3297995146</v>
      </c>
      <c r="I29" s="82">
        <f>'Репрез.ставки'!$H$15*'База налогов'!H30</f>
        <v>1123.3865320346638</v>
      </c>
      <c r="J29" s="82">
        <f>'Репрез.ставки'!$H$16*'База налогов'!I30</f>
        <v>20619.301396380353</v>
      </c>
      <c r="K29" s="82">
        <f>'Репрез.ставки'!$H$18*'База налогов'!J30</f>
        <v>17486.028470323738</v>
      </c>
      <c r="L29" s="46"/>
      <c r="M29" s="46"/>
      <c r="N29" s="46"/>
      <c r="O29" s="46"/>
      <c r="P29" s="46"/>
      <c r="Q29" s="46"/>
      <c r="R29" s="46"/>
    </row>
    <row r="30" spans="1:18" ht="15.75">
      <c r="A30" s="73" t="s">
        <v>83</v>
      </c>
      <c r="B30" s="82">
        <f t="shared" si="0"/>
        <v>69001.09865048286</v>
      </c>
      <c r="C30" s="84"/>
      <c r="D30" s="82">
        <f t="shared" si="1"/>
        <v>69001.09865048286</v>
      </c>
      <c r="E30" s="82">
        <f>'Репрез.ставки'!$H$9*'База налогов'!B31</f>
        <v>52471.05430440385</v>
      </c>
      <c r="F30" s="82">
        <f>'Репрез.ставки'!$H$11*'База налогов'!E31</f>
        <v>0</v>
      </c>
      <c r="G30" s="82">
        <f>'Репрез.ставки'!$H$12*'База налогов'!F31</f>
        <v>2283.9222734370965</v>
      </c>
      <c r="H30" s="82">
        <f>'Репрез.ставки'!$H$14*'База налогов'!G31</f>
        <v>6931.963031458185</v>
      </c>
      <c r="I30" s="82">
        <f>'Репрез.ставки'!$H$15*'База налогов'!H31</f>
        <v>198.2446821237642</v>
      </c>
      <c r="J30" s="82">
        <f>'Репрез.ставки'!$H$16*'База налогов'!I31</f>
        <v>3973.264080983348</v>
      </c>
      <c r="K30" s="82">
        <f>'Репрез.ставки'!$H$18*'База налогов'!J31</f>
        <v>3142.6502780766164</v>
      </c>
      <c r="L30" s="46"/>
      <c r="M30" s="46"/>
      <c r="N30" s="46"/>
      <c r="O30" s="46"/>
      <c r="P30" s="46"/>
      <c r="Q30" s="46"/>
      <c r="R30" s="46"/>
    </row>
    <row r="31" spans="1:18" ht="15.75">
      <c r="A31" s="73" t="s">
        <v>82</v>
      </c>
      <c r="B31" s="82">
        <f t="shared" si="0"/>
        <v>141808.82380429457</v>
      </c>
      <c r="C31" s="84"/>
      <c r="D31" s="82">
        <f t="shared" si="1"/>
        <v>141808.82380429457</v>
      </c>
      <c r="E31" s="82">
        <f>'Репрез.ставки'!$H$9*'База налогов'!B32</f>
        <v>107941.39080675715</v>
      </c>
      <c r="F31" s="82">
        <f>'Репрез.ставки'!$H$11*'База налогов'!E32</f>
        <v>0</v>
      </c>
      <c r="G31" s="82">
        <f>'Репрез.ставки'!$H$12*'База налогов'!F32</f>
        <v>7036.482905881782</v>
      </c>
      <c r="H31" s="82">
        <f>'Репрез.ставки'!$H$14*'База налогов'!G32</f>
        <v>15685.901094570605</v>
      </c>
      <c r="I31" s="82">
        <f>'Репрез.ставки'!$H$15*'База налогов'!H32</f>
        <v>809.4991186720371</v>
      </c>
      <c r="J31" s="82">
        <f>'Репрез.ставки'!$H$16*'База налогов'!I32</f>
        <v>4291.991651342604</v>
      </c>
      <c r="K31" s="82">
        <f>'Репрез.ставки'!$H$18*'База налогов'!J32</f>
        <v>6043.558227070416</v>
      </c>
      <c r="L31" s="46"/>
      <c r="M31" s="46"/>
      <c r="N31" s="46"/>
      <c r="O31" s="46"/>
      <c r="P31" s="46"/>
      <c r="Q31" s="46"/>
      <c r="R31" s="46"/>
    </row>
    <row r="32" spans="1:18" ht="15.75">
      <c r="A32" s="73" t="s">
        <v>81</v>
      </c>
      <c r="B32" s="82">
        <f t="shared" si="0"/>
        <v>110181.74168338602</v>
      </c>
      <c r="C32" s="84"/>
      <c r="D32" s="82">
        <f t="shared" si="1"/>
        <v>110181.74168338602</v>
      </c>
      <c r="E32" s="82">
        <f>'Репрез.ставки'!$H$9*'База налогов'!B33</f>
        <v>81890.24925192737</v>
      </c>
      <c r="F32" s="82">
        <f>'Репрез.ставки'!$H$11*'База налогов'!E33</f>
        <v>0</v>
      </c>
      <c r="G32" s="82">
        <f>'Репрез.ставки'!$H$12*'База налогов'!F33</f>
        <v>5799.870907417807</v>
      </c>
      <c r="H32" s="82">
        <f>'Репрез.ставки'!$H$14*'База налогов'!G33</f>
        <v>10269.31381477842</v>
      </c>
      <c r="I32" s="82">
        <f>'Репрез.ставки'!$H$15*'База налогов'!H33</f>
        <v>363.4485838935677</v>
      </c>
      <c r="J32" s="82">
        <f>'Репрез.ставки'!$H$16*'База налогов'!I33</f>
        <v>5936.172062839867</v>
      </c>
      <c r="K32" s="82">
        <f>'Репрез.ставки'!$H$18*'База налогов'!J33</f>
        <v>5922.687062529008</v>
      </c>
      <c r="L32" s="46"/>
      <c r="M32" s="46"/>
      <c r="N32" s="46"/>
      <c r="O32" s="46"/>
      <c r="P32" s="46"/>
      <c r="Q32" s="46"/>
      <c r="R32" s="46"/>
    </row>
    <row r="33" spans="1:18" ht="15.75">
      <c r="A33" s="73" t="s">
        <v>80</v>
      </c>
      <c r="B33" s="82">
        <f t="shared" si="0"/>
        <v>518296.60624072654</v>
      </c>
      <c r="C33" s="84"/>
      <c r="D33" s="82">
        <f t="shared" si="1"/>
        <v>518296.60624072654</v>
      </c>
      <c r="E33" s="82">
        <f>'Репрез.ставки'!$H$9*'База налогов'!B34</f>
        <v>315968.6129462564</v>
      </c>
      <c r="F33" s="82">
        <f>'Репрез.ставки'!$H$11*'База налогов'!E34</f>
        <v>0</v>
      </c>
      <c r="G33" s="82">
        <f>'Репрез.ставки'!$H$12*'База налогов'!F34</f>
        <v>2568.8359205129755</v>
      </c>
      <c r="H33" s="82">
        <f>'Репрез.ставки'!$H$14*'База налогов'!G34</f>
        <v>113310.45976599753</v>
      </c>
      <c r="I33" s="82">
        <f>'Репрез.ставки'!$H$15*'База налогов'!H34</f>
        <v>3783.1693505285</v>
      </c>
      <c r="J33" s="82">
        <f>'Репрез.ставки'!$H$16*'База налогов'!I34</f>
        <v>41811.0746424351</v>
      </c>
      <c r="K33" s="82">
        <f>'Репрез.ставки'!$H$18*'База налогов'!J34</f>
        <v>40854.45361499601</v>
      </c>
      <c r="L33" s="46"/>
      <c r="M33" s="46"/>
      <c r="N33" s="46"/>
      <c r="O33" s="46"/>
      <c r="P33" s="46"/>
      <c r="Q33" s="46"/>
      <c r="R33" s="46"/>
    </row>
    <row r="34" spans="1:18" ht="15.75">
      <c r="A34" s="73" t="s">
        <v>79</v>
      </c>
      <c r="B34" s="82">
        <f t="shared" si="0"/>
        <v>40792.855908560836</v>
      </c>
      <c r="C34" s="84"/>
      <c r="D34" s="82">
        <f t="shared" si="1"/>
        <v>40792.855908560836</v>
      </c>
      <c r="E34" s="82">
        <f>'Репрез.ставки'!$H$9*'База налогов'!B35</f>
        <v>28968.08811113373</v>
      </c>
      <c r="F34" s="82">
        <f>'Репрез.ставки'!$H$11*'База налогов'!E35</f>
        <v>0</v>
      </c>
      <c r="G34" s="82">
        <f>'Репрез.ставки'!$H$12*'База налогов'!F35</f>
        <v>134.65849318235453</v>
      </c>
      <c r="H34" s="82">
        <f>'Репрез.ставки'!$H$14*'База налогов'!G35</f>
        <v>6031.547904596178</v>
      </c>
      <c r="I34" s="82">
        <f>'Репрез.ставки'!$H$15*'База налогов'!H35</f>
        <v>66.0815607079214</v>
      </c>
      <c r="J34" s="82">
        <f>'Репрез.ставки'!$H$16*'База налогов'!I35</f>
        <v>2409.539172683567</v>
      </c>
      <c r="K34" s="82">
        <f>'Репрез.ставки'!$H$18*'База налогов'!J35</f>
        <v>3182.940666257086</v>
      </c>
      <c r="L34" s="46"/>
      <c r="M34" s="46"/>
      <c r="N34" s="46"/>
      <c r="O34" s="46"/>
      <c r="P34" s="46"/>
      <c r="Q34" s="46"/>
      <c r="R34" s="46"/>
    </row>
    <row r="35" spans="1:18" ht="15.75">
      <c r="A35" s="73" t="s">
        <v>78</v>
      </c>
      <c r="B35" s="82">
        <f t="shared" si="0"/>
        <v>231333.73611797605</v>
      </c>
      <c r="C35" s="84"/>
      <c r="D35" s="82">
        <f t="shared" si="1"/>
        <v>231333.73611797605</v>
      </c>
      <c r="E35" s="82">
        <f>'Репрез.ставки'!$H$9*'База налогов'!B36</f>
        <v>174387.95062471004</v>
      </c>
      <c r="F35" s="82">
        <f>'Репрез.ставки'!$H$11*'База налогов'!E36</f>
        <v>0</v>
      </c>
      <c r="G35" s="82">
        <f>'Репрез.ставки'!$H$12*'База налогов'!F36</f>
        <v>7998.72547859574</v>
      </c>
      <c r="H35" s="82">
        <f>'Репрез.ставки'!$H$14*'База налогов'!G36</f>
        <v>20614.39641714014</v>
      </c>
      <c r="I35" s="82">
        <f>'Репрез.ставки'!$H$15*'База налогов'!H36</f>
        <v>413.00975442450874</v>
      </c>
      <c r="J35" s="82">
        <f>'Репрез.ставки'!$H$16*'База налогов'!I36</f>
        <v>17605.314468905446</v>
      </c>
      <c r="K35" s="82">
        <f>'Репрез.ставки'!$H$18*'База налогов'!J36</f>
        <v>10314.339374200177</v>
      </c>
      <c r="L35" s="46"/>
      <c r="M35" s="46"/>
      <c r="N35" s="46"/>
      <c r="O35" s="46"/>
      <c r="P35" s="46"/>
      <c r="Q35" s="46"/>
      <c r="R35" s="46"/>
    </row>
    <row r="36" spans="1:18" ht="15.75">
      <c r="A36" s="73" t="s">
        <v>77</v>
      </c>
      <c r="B36" s="82">
        <f t="shared" si="0"/>
        <v>148995.42026907243</v>
      </c>
      <c r="C36" s="84">
        <f>901.798</f>
        <v>901.798</v>
      </c>
      <c r="D36" s="82">
        <f t="shared" si="1"/>
        <v>149897.21826907244</v>
      </c>
      <c r="E36" s="82">
        <f>'Репрез.ставки'!$H$9*'База налогов'!B37</f>
        <v>113434.8431106817</v>
      </c>
      <c r="F36" s="82">
        <f>'Репрез.ставки'!$H$11*'База налогов'!E37</f>
        <v>0</v>
      </c>
      <c r="G36" s="82">
        <f>'Репрез.ставки'!$H$12*'База налогов'!F37</f>
        <v>10185.168622588026</v>
      </c>
      <c r="H36" s="82">
        <f>'Репрез.ставки'!$H$14*'База налогов'!G37</f>
        <v>13213.724141562005</v>
      </c>
      <c r="I36" s="82">
        <f>'Репрез.ставки'!$H$15*'База налогов'!H37</f>
        <v>99.1223410618821</v>
      </c>
      <c r="J36" s="82">
        <f>'Репрез.ставки'!$H$16*'База налогов'!I37</f>
        <v>5873.251733416195</v>
      </c>
      <c r="K36" s="82">
        <f>'Репрез.ставки'!$H$18*'База налогов'!J37</f>
        <v>7091.108319762622</v>
      </c>
      <c r="L36" s="46"/>
      <c r="M36" s="46"/>
      <c r="N36" s="46"/>
      <c r="O36" s="46"/>
      <c r="P36" s="46"/>
      <c r="Q36" s="46"/>
      <c r="R36" s="46"/>
    </row>
    <row r="37" spans="1:18" ht="15.75">
      <c r="A37" s="73" t="s">
        <v>76</v>
      </c>
      <c r="B37" s="82">
        <f t="shared" si="0"/>
        <v>97334.2302562742</v>
      </c>
      <c r="C37" s="84"/>
      <c r="D37" s="82">
        <f t="shared" si="1"/>
        <v>97334.2302562742</v>
      </c>
      <c r="E37" s="82">
        <f>'Репрез.ставки'!$H$9*'База налогов'!B38</f>
        <v>64877.864045044174</v>
      </c>
      <c r="F37" s="82">
        <f>'Репрез.ставки'!$H$11*'База налогов'!E38</f>
        <v>0</v>
      </c>
      <c r="G37" s="82">
        <f>'Репрез.ставки'!$H$12*'База налогов'!F38</f>
        <v>3491.784793442278</v>
      </c>
      <c r="H37" s="82">
        <f>'Репрез.ставки'!$H$14*'База налогов'!G38</f>
        <v>16358.128826268952</v>
      </c>
      <c r="I37" s="82">
        <f>'Репрез.ставки'!$H$15*'База налогов'!H38</f>
        <v>726.8971677871353</v>
      </c>
      <c r="J37" s="82">
        <f>'Репрез.ставки'!$H$16*'База налогов'!I38</f>
        <v>4586.995163066705</v>
      </c>
      <c r="K37" s="82">
        <f>'Репрез.ставки'!$H$18*'База налогов'!J38</f>
        <v>7292.560260664969</v>
      </c>
      <c r="L37" s="46"/>
      <c r="M37" s="46"/>
      <c r="N37" s="46"/>
      <c r="O37" s="46"/>
      <c r="P37" s="46"/>
      <c r="Q37" s="46"/>
      <c r="R37" s="46"/>
    </row>
    <row r="38" spans="1:18" ht="15.75">
      <c r="A38" s="73" t="s">
        <v>75</v>
      </c>
      <c r="B38" s="82">
        <f t="shared" si="0"/>
        <v>113581.17104970462</v>
      </c>
      <c r="C38" s="84"/>
      <c r="D38" s="82">
        <f t="shared" si="1"/>
        <v>113581.17104970462</v>
      </c>
      <c r="E38" s="82">
        <f>'Репрез.ставки'!$H$9*'База налогов'!B39</f>
        <v>76659.68266973554</v>
      </c>
      <c r="F38" s="82">
        <f>'Репрез.ставки'!$H$11*'База налогов'!E39</f>
        <v>0</v>
      </c>
      <c r="G38" s="82">
        <f>'Репрез.ставки'!$H$12*'База налогов'!F39</f>
        <v>6274.113736894244</v>
      </c>
      <c r="H38" s="82">
        <f>'Репрез.ставки'!$H$14*'База налогов'!G39</f>
        <v>14429.54887254984</v>
      </c>
      <c r="I38" s="82">
        <f>'Репрез.ставки'!$H$15*'База налогов'!H39</f>
        <v>578.2136561943122</v>
      </c>
      <c r="J38" s="82">
        <f>'Репрез.ставки'!$H$16*'База налогов'!I39</f>
        <v>9475.182722718855</v>
      </c>
      <c r="K38" s="82">
        <f>'Репрез.ставки'!$H$18*'База налогов'!J39</f>
        <v>6164.429391611825</v>
      </c>
      <c r="L38" s="46"/>
      <c r="M38" s="46"/>
      <c r="N38" s="46"/>
      <c r="O38" s="46"/>
      <c r="P38" s="46"/>
      <c r="Q38" s="46"/>
      <c r="R38" s="46"/>
    </row>
    <row r="39" spans="1:18" ht="15.75">
      <c r="A39" s="73" t="s">
        <v>74</v>
      </c>
      <c r="B39" s="82">
        <f t="shared" si="0"/>
        <v>360201.6418691008</v>
      </c>
      <c r="C39" s="84"/>
      <c r="D39" s="82">
        <f t="shared" si="1"/>
        <v>360201.6418691008</v>
      </c>
      <c r="E39" s="82">
        <f>'Репрез.ставки'!$H$9*'База налогов'!B40</f>
        <v>285974.5994853354</v>
      </c>
      <c r="F39" s="82">
        <f>'Репрез.ставки'!$H$11*'База налогов'!E40</f>
        <v>0</v>
      </c>
      <c r="G39" s="82">
        <f>'Репрез.ставки'!$H$12*'База налогов'!F40</f>
        <v>1587.8663713817325</v>
      </c>
      <c r="H39" s="82">
        <f>'Репрез.ставки'!$H$14*'База налогов'!G40</f>
        <v>33149.72560010748</v>
      </c>
      <c r="I39" s="82">
        <f>'Репрез.ставки'!$H$15*'База налогов'!H40</f>
        <v>3651.0062291126574</v>
      </c>
      <c r="J39" s="82">
        <f>'Репрез.ставки'!$H$16*'База налогов'!I40</f>
        <v>19480.546581892915</v>
      </c>
      <c r="K39" s="82">
        <f>'Репрез.ставки'!$H$18*'База налогов'!J40</f>
        <v>16357.897601270593</v>
      </c>
      <c r="L39" s="46"/>
      <c r="M39" s="46"/>
      <c r="N39" s="46"/>
      <c r="O39" s="46"/>
      <c r="P39" s="46"/>
      <c r="Q39" s="46"/>
      <c r="R39" s="46"/>
    </row>
    <row r="40" spans="1:18" ht="15.75">
      <c r="A40" s="73" t="s">
        <v>50</v>
      </c>
      <c r="B40" s="82">
        <f t="shared" si="0"/>
        <v>706725.518692951</v>
      </c>
      <c r="C40" s="84">
        <f>2773.852+711.718</f>
        <v>3485.5699999999997</v>
      </c>
      <c r="D40" s="82">
        <f t="shared" si="1"/>
        <v>710211.0886929509</v>
      </c>
      <c r="E40" s="82">
        <f>'Репрез.ставки'!$H$9*'База налогов'!B41</f>
        <v>401915.6731433431</v>
      </c>
      <c r="F40" s="82">
        <f>'Репрез.ставки'!$H$11*'База налогов'!E41</f>
        <v>0</v>
      </c>
      <c r="G40" s="82">
        <f>'Репрез.ставки'!$H$12*'База налогов'!F41</f>
        <v>9505.69790199313</v>
      </c>
      <c r="H40" s="82">
        <f>'Репрез.ставки'!$H$14*'База налогов'!G41</f>
        <v>162124.94168274538</v>
      </c>
      <c r="I40" s="82">
        <f>'Репрез.ставки'!$H$15*'База налогов'!H41</f>
        <v>3122.353743449286</v>
      </c>
      <c r="J40" s="82">
        <f>'Репрез.ставки'!$H$16*'База налогов'!I41</f>
        <v>58763.46175846867</v>
      </c>
      <c r="K40" s="82">
        <f>'Репрез.ставки'!$H$18*'База налогов'!J41</f>
        <v>74778.96046295129</v>
      </c>
      <c r="L40" s="46"/>
      <c r="M40" s="46"/>
      <c r="N40" s="46"/>
      <c r="O40" s="46"/>
      <c r="P40" s="46"/>
      <c r="Q40" s="46"/>
      <c r="R40" s="46"/>
    </row>
    <row r="41" spans="1:18" ht="15.75">
      <c r="A41" s="73" t="s">
        <v>73</v>
      </c>
      <c r="B41" s="82">
        <f t="shared" si="0"/>
        <v>149252.4565539364</v>
      </c>
      <c r="C41" s="84"/>
      <c r="D41" s="82">
        <f t="shared" si="1"/>
        <v>149252.4565539364</v>
      </c>
      <c r="E41" s="82">
        <f>'Репрез.ставки'!$H$9*'База налогов'!B42</f>
        <v>91637.4060494965</v>
      </c>
      <c r="F41" s="82">
        <f>'Репрез.ставки'!$H$11*'База налогов'!E42</f>
        <v>0</v>
      </c>
      <c r="G41" s="82">
        <f>'Репрез.ставки'!$H$12*'База налогов'!F42</f>
        <v>6802.560454123936</v>
      </c>
      <c r="H41" s="82">
        <f>'Репрез.ставки'!$H$14*'База налогов'!G42</f>
        <v>28271.449125122228</v>
      </c>
      <c r="I41" s="82">
        <f>'Репрез.ставки'!$H$15*'База налогов'!H42</f>
        <v>495.61170530941047</v>
      </c>
      <c r="J41" s="82">
        <f>'Репрез.ставки'!$H$16*'База налогов'!I42</f>
        <v>13020.38226745919</v>
      </c>
      <c r="K41" s="82">
        <f>'Репрез.ставки'!$H$18*'База налогов'!J42</f>
        <v>9025.046952425155</v>
      </c>
      <c r="L41" s="46"/>
      <c r="M41" s="46"/>
      <c r="N41" s="46"/>
      <c r="O41" s="46"/>
      <c r="P41" s="46"/>
      <c r="Q41" s="46"/>
      <c r="R41" s="46"/>
    </row>
    <row r="42" spans="1:18" ht="15.75">
      <c r="A42" s="73" t="s">
        <v>72</v>
      </c>
      <c r="B42" s="82">
        <f t="shared" si="0"/>
        <v>74961.49855415552</v>
      </c>
      <c r="C42" s="84"/>
      <c r="D42" s="82">
        <f t="shared" si="1"/>
        <v>74961.49855415552</v>
      </c>
      <c r="E42" s="82">
        <f>'Репрез.ставки'!$H$9*'База налогов'!B43</f>
        <v>50110.359802262865</v>
      </c>
      <c r="F42" s="82">
        <f>'Репрез.ставки'!$H$11*'База налогов'!E43</f>
        <v>0</v>
      </c>
      <c r="G42" s="82">
        <f>'Репрез.ставки'!$H$12*'База налогов'!F43</f>
        <v>5377.800006376622</v>
      </c>
      <c r="H42" s="82">
        <f>'Репрез.ставки'!$H$14*'База налогов'!G43</f>
        <v>10327.461954086533</v>
      </c>
      <c r="I42" s="82">
        <f>'Репрез.ставки'!$H$15*'База налогов'!H43</f>
        <v>66.0815607079214</v>
      </c>
      <c r="J42" s="82">
        <f>'Репрез.ставки'!$H$16*'База налогов'!I43</f>
        <v>4647.852530869928</v>
      </c>
      <c r="K42" s="82">
        <f>'Репрез.ставки'!$H$18*'База налогов'!J43</f>
        <v>4431.942699851638</v>
      </c>
      <c r="L42" s="46"/>
      <c r="M42" s="46"/>
      <c r="N42" s="46"/>
      <c r="O42" s="46"/>
      <c r="P42" s="46"/>
      <c r="Q42" s="46"/>
      <c r="R42" s="46"/>
    </row>
    <row r="43" spans="1:18" ht="15.75">
      <c r="A43" s="73" t="s">
        <v>71</v>
      </c>
      <c r="B43" s="82">
        <f t="shared" si="0"/>
        <v>62407.98163877444</v>
      </c>
      <c r="C43" s="84"/>
      <c r="D43" s="82">
        <f t="shared" si="1"/>
        <v>62407.98163877444</v>
      </c>
      <c r="E43" s="82">
        <f>'Репрез.ставки'!$H$9*'База налогов'!B44</f>
        <v>44628.67564397154</v>
      </c>
      <c r="F43" s="82">
        <f>'Репрез.ставки'!$H$11*'База налогов'!E44</f>
        <v>0</v>
      </c>
      <c r="G43" s="82">
        <f>'Репрез.ставки'!$H$12*'База налогов'!F44</f>
        <v>788.7297223021924</v>
      </c>
      <c r="H43" s="82">
        <f>'Репрез.ставки'!$H$14*'База налогов'!G44</f>
        <v>7052.6644721432085</v>
      </c>
      <c r="I43" s="82">
        <f>'Репрез.ставки'!$H$15*'База налогов'!H44</f>
        <v>479.0913151324301</v>
      </c>
      <c r="J43" s="82">
        <f>'Репрез.ставки'!$H$16*'База налогов'!I44</f>
        <v>4059.9084690421746</v>
      </c>
      <c r="K43" s="82">
        <f>'Репрез.ставки'!$H$18*'База налогов'!J44</f>
        <v>5398.912016182905</v>
      </c>
      <c r="L43" s="46"/>
      <c r="M43" s="46"/>
      <c r="N43" s="46"/>
      <c r="O43" s="46"/>
      <c r="P43" s="46"/>
      <c r="Q43" s="46"/>
      <c r="R43" s="46"/>
    </row>
    <row r="44" spans="1:18" ht="15.75">
      <c r="A44" s="73" t="s">
        <v>70</v>
      </c>
      <c r="B44" s="82">
        <f t="shared" si="0"/>
        <v>67074.15405094688</v>
      </c>
      <c r="C44" s="84"/>
      <c r="D44" s="82">
        <f t="shared" si="1"/>
        <v>67074.15405094688</v>
      </c>
      <c r="E44" s="82">
        <f>'Репрез.ставки'!$H$9*'База налогов'!B45</f>
        <v>48414.928696596195</v>
      </c>
      <c r="F44" s="82">
        <f>'Репрез.ставки'!$H$11*'База налогов'!E45</f>
        <v>0</v>
      </c>
      <c r="G44" s="82">
        <f>'Репрез.ставки'!$H$12*'База налогов'!F45</f>
        <v>228.65034109491563</v>
      </c>
      <c r="H44" s="82">
        <f>'Репрез.ставки'!$H$14*'База налогов'!G45</f>
        <v>9294.010932746873</v>
      </c>
      <c r="I44" s="82">
        <f>'Репрез.ставки'!$H$15*'База налогов'!H45</f>
        <v>313.88741336262666</v>
      </c>
      <c r="J44" s="82">
        <f>'Репрез.ставки'!$H$16*'База налогов'!I45</f>
        <v>3907.2493091290034</v>
      </c>
      <c r="K44" s="82">
        <f>'Репрез.ставки'!$H$18*'База налогов'!J45</f>
        <v>4915.427358017272</v>
      </c>
      <c r="L44" s="46"/>
      <c r="M44" s="46"/>
      <c r="N44" s="46"/>
      <c r="O44" s="46"/>
      <c r="P44" s="46"/>
      <c r="Q44" s="46"/>
      <c r="R44" s="46"/>
    </row>
    <row r="45" spans="1:18" ht="15.75">
      <c r="A45" s="73" t="s">
        <v>69</v>
      </c>
      <c r="B45" s="82">
        <f t="shared" si="0"/>
        <v>115591.28475287509</v>
      </c>
      <c r="C45" s="84">
        <f>3066.032+47.997</f>
        <v>3114.029</v>
      </c>
      <c r="D45" s="82">
        <f>SUM(E45:K45)</f>
        <v>118705.31375287508</v>
      </c>
      <c r="E45" s="82">
        <f>'Репрез.ставки'!$H$9*'База налогов'!B46</f>
        <v>76935.79929395113</v>
      </c>
      <c r="F45" s="82">
        <f>'Репрез.ставки'!$H$11*'База налогов'!E46</f>
        <v>0</v>
      </c>
      <c r="G45" s="82">
        <f>'Репрез.ставки'!$H$12*'База налогов'!F46</f>
        <v>1365.586497337858</v>
      </c>
      <c r="H45" s="82">
        <f>'Репрез.ставки'!$H$14*'База налогов'!G46</f>
        <v>24051.303863215173</v>
      </c>
      <c r="I45" s="82">
        <f>'Репрез.ставки'!$H$15*'База налогов'!H46</f>
        <v>66.0815607079214</v>
      </c>
      <c r="J45" s="82">
        <f>'Репрез.ставки'!$H$16*'База налогов'!I46</f>
        <v>8671.659171554258</v>
      </c>
      <c r="K45" s="82">
        <f>'Репрез.ставки'!$H$18*'База налогов'!J46</f>
        <v>7614.883366108725</v>
      </c>
      <c r="L45" s="46"/>
      <c r="M45" s="46"/>
      <c r="N45" s="46"/>
      <c r="O45" s="46"/>
      <c r="P45" s="46"/>
      <c r="Q45" s="46"/>
      <c r="R45" s="46"/>
    </row>
    <row r="46" spans="1:18" s="43" customFormat="1" ht="20.25" customHeight="1">
      <c r="A46" s="7" t="s">
        <v>35</v>
      </c>
      <c r="B46" s="44">
        <f aca="true" t="shared" si="2" ref="B46:I46">SUM(B8:B45)</f>
        <v>30237441.589617163</v>
      </c>
      <c r="C46" s="45">
        <f t="shared" si="2"/>
        <v>25869.646999999997</v>
      </c>
      <c r="D46" s="44">
        <f t="shared" si="2"/>
        <v>30263311.236617163</v>
      </c>
      <c r="E46" s="44">
        <f t="shared" si="2"/>
        <v>20704767.506849997</v>
      </c>
      <c r="F46" s="44">
        <f t="shared" si="2"/>
        <v>0</v>
      </c>
      <c r="G46" s="44">
        <f t="shared" si="2"/>
        <v>157913.93807</v>
      </c>
      <c r="H46" s="44">
        <f t="shared" si="2"/>
        <v>4400641.167790001</v>
      </c>
      <c r="I46" s="44">
        <f t="shared" si="2"/>
        <v>135351.55672</v>
      </c>
      <c r="J46" s="44">
        <f>SUM(J8:J45)</f>
        <v>3176414.2106609005</v>
      </c>
      <c r="K46" s="44">
        <f>SUM(K8:K45)</f>
        <v>1688222.8565262672</v>
      </c>
      <c r="L46" s="46"/>
      <c r="M46" s="46"/>
      <c r="N46" s="46"/>
      <c r="O46" s="46"/>
      <c r="P46" s="46"/>
      <c r="Q46" s="46"/>
      <c r="R46" s="46"/>
    </row>
    <row r="47" spans="2:7" ht="15.75">
      <c r="B47" s="42"/>
      <c r="C47" s="42"/>
      <c r="D47" s="42"/>
      <c r="E47" s="42"/>
      <c r="F47" s="42"/>
      <c r="G47" s="42"/>
    </row>
    <row r="48" spans="5:7" ht="15.75">
      <c r="E48" s="42"/>
      <c r="F48" s="42"/>
      <c r="G48" s="42"/>
    </row>
    <row r="49" spans="2:7" ht="15.75">
      <c r="B49" s="42"/>
      <c r="C49" s="42"/>
      <c r="D49" s="42"/>
      <c r="F49" s="41"/>
      <c r="G49" s="41"/>
    </row>
  </sheetData>
  <sheetProtection/>
  <mergeCells count="2">
    <mergeCell ref="A2:G2"/>
    <mergeCell ref="A3:K3"/>
  </mergeCells>
  <printOptions gridLines="1" horizontalCentered="1"/>
  <pageMargins left="0.2" right="0.2" top="0.3937007874015748" bottom="0.2362204724409449" header="0.15748031496062992" footer="0.2362204724409449"/>
  <pageSetup fitToHeight="1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theme="5" tint="-0.24997000396251678"/>
  </sheetPr>
  <dimension ref="A1:H52"/>
  <sheetViews>
    <sheetView view="pageBreakPreview" zoomScale="90" zoomScaleNormal="75" zoomScaleSheetLayoutView="9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" sqref="E1"/>
    </sheetView>
  </sheetViews>
  <sheetFormatPr defaultColWidth="9.00390625" defaultRowHeight="12.75"/>
  <cols>
    <col min="1" max="1" width="23.25390625" style="53" customWidth="1"/>
    <col min="2" max="3" width="11.00390625" style="53" customWidth="1"/>
    <col min="4" max="4" width="11.25390625" style="53" customWidth="1"/>
    <col min="5" max="5" width="17.375" style="53" customWidth="1"/>
    <col min="6" max="6" width="13.125" style="53" bestFit="1" customWidth="1"/>
    <col min="7" max="7" width="16.625" style="53" customWidth="1"/>
    <col min="8" max="8" width="14.25390625" style="53" bestFit="1" customWidth="1"/>
    <col min="9" max="9" width="9.125" style="53" customWidth="1"/>
    <col min="10" max="10" width="12.75390625" style="53" bestFit="1" customWidth="1"/>
    <col min="11" max="12" width="9.125" style="53" customWidth="1"/>
    <col min="13" max="13" width="14.75390625" style="53" bestFit="1" customWidth="1"/>
    <col min="14" max="14" width="10.875" style="53" bestFit="1" customWidth="1"/>
    <col min="15" max="17" width="13.25390625" style="53" bestFit="1" customWidth="1"/>
    <col min="18" max="18" width="11.00390625" style="53" customWidth="1"/>
    <col min="19" max="19" width="10.875" style="53" bestFit="1" customWidth="1"/>
    <col min="20" max="20" width="9.625" style="53" bestFit="1" customWidth="1"/>
    <col min="21" max="16384" width="9.125" style="53" customWidth="1"/>
  </cols>
  <sheetData>
    <row r="1" spans="1:5" ht="15.75" customHeight="1">
      <c r="A1" s="64"/>
      <c r="B1" s="64"/>
      <c r="C1" s="64"/>
      <c r="D1" s="64"/>
      <c r="E1" s="65" t="s">
        <v>190</v>
      </c>
    </row>
    <row r="2" spans="1:5" ht="22.5" customHeight="1">
      <c r="A2" s="253" t="s">
        <v>146</v>
      </c>
      <c r="B2" s="253"/>
      <c r="C2" s="253"/>
      <c r="D2" s="253"/>
      <c r="E2" s="253"/>
    </row>
    <row r="3" spans="1:5" ht="10.5" customHeight="1">
      <c r="A3" s="135"/>
      <c r="B3" s="135"/>
      <c r="C3" s="135"/>
      <c r="D3" s="135"/>
      <c r="E3" s="135"/>
    </row>
    <row r="4" spans="1:5" ht="49.5" customHeight="1">
      <c r="A4" s="209" t="s">
        <v>107</v>
      </c>
      <c r="B4" s="258" t="s">
        <v>117</v>
      </c>
      <c r="C4" s="258"/>
      <c r="D4" s="259" t="s">
        <v>122</v>
      </c>
      <c r="E4" s="210" t="s">
        <v>106</v>
      </c>
    </row>
    <row r="5" spans="1:5" ht="36" customHeight="1">
      <c r="A5" s="256" t="s">
        <v>105</v>
      </c>
      <c r="B5" s="260" t="s">
        <v>104</v>
      </c>
      <c r="C5" s="261"/>
      <c r="D5" s="259"/>
      <c r="E5" s="254" t="s">
        <v>123</v>
      </c>
    </row>
    <row r="6" spans="1:5" ht="18" customHeight="1">
      <c r="A6" s="257"/>
      <c r="B6" s="211" t="s">
        <v>103</v>
      </c>
      <c r="C6" s="211" t="s">
        <v>102</v>
      </c>
      <c r="D6" s="259"/>
      <c r="E6" s="255"/>
    </row>
    <row r="7" spans="1:5" ht="21.75" customHeight="1">
      <c r="A7" s="257"/>
      <c r="B7" s="212">
        <f>E50/E52</f>
        <v>0.06702560434671774</v>
      </c>
      <c r="C7" s="212">
        <f>E51/E52</f>
        <v>0.09067727561019745</v>
      </c>
      <c r="D7" s="259"/>
      <c r="E7" s="255"/>
    </row>
    <row r="8" spans="1:5" ht="15.75">
      <c r="A8" s="58" t="s">
        <v>38</v>
      </c>
      <c r="B8" s="58" t="s">
        <v>39</v>
      </c>
      <c r="C8" s="58" t="s">
        <v>40</v>
      </c>
      <c r="D8" s="58" t="s">
        <v>41</v>
      </c>
      <c r="E8" s="58" t="s">
        <v>42</v>
      </c>
    </row>
    <row r="9" spans="1:5" s="55" customFormat="1" ht="15.75">
      <c r="A9" s="14" t="s">
        <v>116</v>
      </c>
      <c r="B9" s="87"/>
      <c r="C9" s="87"/>
      <c r="D9" s="87"/>
      <c r="E9" s="87"/>
    </row>
    <row r="10" spans="1:8" ht="15.75">
      <c r="A10" s="88" t="s">
        <v>0</v>
      </c>
      <c r="B10" s="89">
        <f>образование!E8</f>
        <v>1.0742160489549222</v>
      </c>
      <c r="C10" s="89">
        <f>образование!H8</f>
        <v>0.9134931380819405</v>
      </c>
      <c r="D10" s="90">
        <f>'коэффициент масштаба'!C7</f>
        <v>0.9000000000000001</v>
      </c>
      <c r="E10" s="89">
        <f>(B10*B$7+C10*C$7+1-SUM(B$7:C$7))*D10</f>
        <v>0.897417152075801</v>
      </c>
      <c r="F10" s="127"/>
      <c r="G10" s="122"/>
      <c r="H10" s="122"/>
    </row>
    <row r="11" spans="1:8" ht="15.75">
      <c r="A11" s="88" t="s">
        <v>1</v>
      </c>
      <c r="B11" s="89">
        <f>образование!E9</f>
        <v>0.9819032499429599</v>
      </c>
      <c r="C11" s="89">
        <f>образование!H9</f>
        <v>1.0387790684264617</v>
      </c>
      <c r="D11" s="90">
        <f>'коэффициент масштаба'!C8</f>
        <v>0.9795609818816522</v>
      </c>
      <c r="E11" s="89">
        <f>(B11*B$7+C11*C$7+1-SUM(B$7:C$7))*D11</f>
        <v>0.9818173366051011</v>
      </c>
      <c r="F11" s="127"/>
      <c r="G11" s="122"/>
      <c r="H11" s="122"/>
    </row>
    <row r="12" spans="1:8" ht="15.75">
      <c r="A12" s="88" t="s">
        <v>2</v>
      </c>
      <c r="B12" s="89">
        <f>образование!E10</f>
        <v>0.9583250056721438</v>
      </c>
      <c r="C12" s="89">
        <f>образование!H10</f>
        <v>1.020789589642062</v>
      </c>
      <c r="D12" s="90">
        <f>'коэффициент масштаба'!C9</f>
        <v>1.0724117463677882</v>
      </c>
      <c r="E12" s="89">
        <f aca="true" t="shared" si="0" ref="E12:E46">(B12*B$7+C12*C$7+1-SUM(B$7:C$7))*D12</f>
        <v>1.0714378374299927</v>
      </c>
      <c r="F12" s="127"/>
      <c r="G12" s="122"/>
      <c r="H12" s="122"/>
    </row>
    <row r="13" spans="1:8" ht="15.75">
      <c r="A13" s="88" t="s">
        <v>11</v>
      </c>
      <c r="B13" s="89">
        <f>образование!E11</f>
        <v>0.919110877572527</v>
      </c>
      <c r="C13" s="89">
        <f>образование!H11</f>
        <v>0.9562347307004834</v>
      </c>
      <c r="D13" s="90">
        <f>'коэффициент масштаба'!C10</f>
        <v>1.0837440358456902</v>
      </c>
      <c r="E13" s="89">
        <f t="shared" si="0"/>
        <v>1.0735675084402765</v>
      </c>
      <c r="F13" s="127"/>
      <c r="G13" s="122"/>
      <c r="H13" s="122"/>
    </row>
    <row r="14" spans="1:8" ht="15.75">
      <c r="A14" s="88" t="s">
        <v>3</v>
      </c>
      <c r="B14" s="89">
        <f>образование!E12</f>
        <v>1.0009042702425253</v>
      </c>
      <c r="C14" s="89">
        <f>образование!H12</f>
        <v>1.06785544918094</v>
      </c>
      <c r="D14" s="90">
        <f>'коэффициент масштаба'!C11</f>
        <v>1.0891355080517184</v>
      </c>
      <c r="E14" s="89">
        <f t="shared" si="0"/>
        <v>1.095902913096051</v>
      </c>
      <c r="F14" s="127"/>
      <c r="G14" s="122"/>
      <c r="H14" s="122"/>
    </row>
    <row r="15" spans="1:8" ht="15.75">
      <c r="A15" s="88" t="s">
        <v>4</v>
      </c>
      <c r="B15" s="89">
        <f>образование!E13</f>
        <v>0.9801360231723731</v>
      </c>
      <c r="C15" s="89">
        <f>образование!H13</f>
        <v>1.0765205904896076</v>
      </c>
      <c r="D15" s="90">
        <f>'коэффициент масштаба'!C12</f>
        <v>1.093343043889483</v>
      </c>
      <c r="E15" s="89">
        <f t="shared" si="0"/>
        <v>1.0994737284328</v>
      </c>
      <c r="F15" s="127"/>
      <c r="G15" s="122"/>
      <c r="H15" s="122"/>
    </row>
    <row r="16" spans="1:8" ht="15.75">
      <c r="A16" s="88" t="s">
        <v>12</v>
      </c>
      <c r="B16" s="89">
        <f>образование!E14</f>
        <v>0.925272874319793</v>
      </c>
      <c r="C16" s="89">
        <f>образование!H14</f>
        <v>1.0624828684072274</v>
      </c>
      <c r="D16" s="90">
        <f>'коэффициент масштаба'!C13</f>
        <v>1.091985973119255</v>
      </c>
      <c r="E16" s="89">
        <f t="shared" si="0"/>
        <v>1.0927035668090315</v>
      </c>
      <c r="F16" s="127"/>
      <c r="G16" s="122"/>
      <c r="H16" s="122"/>
    </row>
    <row r="17" spans="1:8" ht="15.75">
      <c r="A17" s="88" t="s">
        <v>5</v>
      </c>
      <c r="B17" s="89">
        <f>образование!E15</f>
        <v>0.8451917134968785</v>
      </c>
      <c r="C17" s="89">
        <f>образование!H15</f>
        <v>1.0446336529872298</v>
      </c>
      <c r="D17" s="90">
        <f>'коэффициент масштаба'!C14</f>
        <v>1.0970917647556129</v>
      </c>
      <c r="E17" s="89">
        <f t="shared" si="0"/>
        <v>1.090148423573888</v>
      </c>
      <c r="F17" s="127"/>
      <c r="G17" s="122"/>
      <c r="H17" s="122"/>
    </row>
    <row r="18" spans="1:8" ht="15.75">
      <c r="A18" s="88" t="s">
        <v>6</v>
      </c>
      <c r="B18" s="89">
        <f>образование!E16</f>
        <v>1.1559417628465962</v>
      </c>
      <c r="C18" s="89">
        <f>образование!H16</f>
        <v>1.0703923384076723</v>
      </c>
      <c r="D18" s="90">
        <f>'коэффициент масштаба'!C15</f>
        <v>1.0913933004207712</v>
      </c>
      <c r="E18" s="89">
        <f t="shared" si="0"/>
        <v>1.1097669899812326</v>
      </c>
      <c r="F18" s="127"/>
      <c r="G18" s="122"/>
      <c r="H18" s="122"/>
    </row>
    <row r="19" spans="1:8" ht="15.75">
      <c r="A19" s="88" t="s">
        <v>13</v>
      </c>
      <c r="B19" s="89">
        <f>образование!E17</f>
        <v>1.0406097972966086</v>
      </c>
      <c r="C19" s="89">
        <f>образование!H17</f>
        <v>1.113497864594685</v>
      </c>
      <c r="D19" s="90">
        <f>'коэффициент масштаба'!C16</f>
        <v>1.0965794066932386</v>
      </c>
      <c r="E19" s="89">
        <f t="shared" si="0"/>
        <v>1.1108498232420692</v>
      </c>
      <c r="F19" s="127"/>
      <c r="G19" s="122"/>
      <c r="H19" s="122"/>
    </row>
    <row r="20" spans="1:8" ht="15.75">
      <c r="A20" s="88" t="s">
        <v>101</v>
      </c>
      <c r="B20" s="89"/>
      <c r="C20" s="89"/>
      <c r="D20" s="90"/>
      <c r="E20" s="89"/>
      <c r="F20" s="127"/>
      <c r="G20" s="122"/>
      <c r="H20" s="122"/>
    </row>
    <row r="21" spans="1:8" ht="15.75">
      <c r="A21" s="88" t="s">
        <v>14</v>
      </c>
      <c r="B21" s="89">
        <f>образование!E19</f>
        <v>0.9562445202394614</v>
      </c>
      <c r="C21" s="89">
        <f>образование!H19</f>
        <v>1.110573363887553</v>
      </c>
      <c r="D21" s="90">
        <f>'коэффициент масштаба'!C18</f>
        <v>1.0996274880364658</v>
      </c>
      <c r="E21" s="89">
        <f t="shared" si="0"/>
        <v>1.1074279748380074</v>
      </c>
      <c r="F21" s="127"/>
      <c r="G21" s="122"/>
      <c r="H21" s="122"/>
    </row>
    <row r="22" spans="1:8" ht="15.75">
      <c r="A22" s="88" t="s">
        <v>15</v>
      </c>
      <c r="B22" s="89">
        <f>образование!E20</f>
        <v>0.9300594126400642</v>
      </c>
      <c r="C22" s="89">
        <f>образование!H20</f>
        <v>1.0299242134196762</v>
      </c>
      <c r="D22" s="90">
        <f>'коэффициент масштаба'!C19</f>
        <v>1.0948811748481333</v>
      </c>
      <c r="E22" s="89">
        <f>(B22*B$7+C22*C$7+1-SUM(B$7:C$7))*D22</f>
        <v>1.0927194808848377</v>
      </c>
      <c r="F22" s="127"/>
      <c r="G22" s="122"/>
      <c r="H22" s="122"/>
    </row>
    <row r="23" spans="1:8" ht="15.75">
      <c r="A23" s="88" t="s">
        <v>16</v>
      </c>
      <c r="B23" s="89">
        <f>образование!E21</f>
        <v>0.9562880112392695</v>
      </c>
      <c r="C23" s="89">
        <f>образование!H21</f>
        <v>1.0862005662226797</v>
      </c>
      <c r="D23" s="90">
        <f>'коэффициент масштаба'!C20</f>
        <v>1.0991323905757115</v>
      </c>
      <c r="E23" s="89">
        <f t="shared" si="0"/>
        <v>1.104503421947759</v>
      </c>
      <c r="F23" s="127"/>
      <c r="G23" s="122"/>
      <c r="H23" s="122"/>
    </row>
    <row r="24" spans="1:8" ht="15.75">
      <c r="A24" s="88" t="s">
        <v>36</v>
      </c>
      <c r="B24" s="89">
        <f>образование!E22</f>
        <v>0.9672986194125968</v>
      </c>
      <c r="C24" s="89">
        <f>образование!H22</f>
        <v>1.00795889327617</v>
      </c>
      <c r="D24" s="90">
        <f>'коэффициент масштаба'!C21</f>
        <v>1.0984815954432012</v>
      </c>
      <c r="E24" s="89">
        <f t="shared" si="0"/>
        <v>1.0968666747675593</v>
      </c>
      <c r="F24" s="127"/>
      <c r="G24" s="122"/>
      <c r="H24" s="122"/>
    </row>
    <row r="25" spans="1:8" ht="15.75">
      <c r="A25" s="88" t="s">
        <v>37</v>
      </c>
      <c r="B25" s="89">
        <f>образование!E23</f>
        <v>1.2683348006347943</v>
      </c>
      <c r="C25" s="89">
        <f>образование!H23</f>
        <v>1.2304520653424051</v>
      </c>
      <c r="D25" s="90">
        <f>'коэффициент масштаба'!C22</f>
        <v>1.0986533208164617</v>
      </c>
      <c r="E25" s="89">
        <f t="shared" si="0"/>
        <v>1.1413712335315551</v>
      </c>
      <c r="F25" s="127"/>
      <c r="G25" s="122"/>
      <c r="H25" s="122"/>
    </row>
    <row r="26" spans="1:8" ht="15.75">
      <c r="A26" s="88" t="s">
        <v>7</v>
      </c>
      <c r="B26" s="89">
        <f>образование!E24</f>
        <v>0.9905732247066782</v>
      </c>
      <c r="C26" s="89">
        <f>образование!H24</f>
        <v>1.0517263462749913</v>
      </c>
      <c r="D26" s="90">
        <f>'коэффициент масштаба'!C23</f>
        <v>1.097609230547038</v>
      </c>
      <c r="E26" s="89">
        <f t="shared" si="0"/>
        <v>1.1020639531756686</v>
      </c>
      <c r="F26" s="127"/>
      <c r="G26" s="122"/>
      <c r="H26" s="122"/>
    </row>
    <row r="27" spans="1:8" ht="15.75">
      <c r="A27" s="88" t="s">
        <v>8</v>
      </c>
      <c r="B27" s="89">
        <f>образование!E25</f>
        <v>1.0214628075489993</v>
      </c>
      <c r="C27" s="89">
        <f>образование!H25</f>
        <v>1.0411963644684101</v>
      </c>
      <c r="D27" s="90">
        <f>'коэффициент масштаба'!C24</f>
        <v>1.0800712264009709</v>
      </c>
      <c r="E27" s="89">
        <f t="shared" si="0"/>
        <v>1.0856596572171016</v>
      </c>
      <c r="F27" s="127"/>
      <c r="G27" s="122"/>
      <c r="H27" s="122"/>
    </row>
    <row r="28" spans="1:8" ht="15.75">
      <c r="A28" s="88" t="s">
        <v>9</v>
      </c>
      <c r="B28" s="89">
        <f>образование!E26</f>
        <v>0.9065482906006967</v>
      </c>
      <c r="C28" s="89">
        <f>образование!H26</f>
        <v>1.006752093856801</v>
      </c>
      <c r="D28" s="90">
        <f>'коэффициент масштаба'!C25</f>
        <v>1.1</v>
      </c>
      <c r="E28" s="89">
        <f t="shared" si="0"/>
        <v>1.093783464593465</v>
      </c>
      <c r="F28" s="127"/>
      <c r="G28" s="122"/>
      <c r="H28" s="122"/>
    </row>
    <row r="29" spans="1:8" ht="15.75">
      <c r="A29" s="88" t="s">
        <v>17</v>
      </c>
      <c r="B29" s="89">
        <f>образование!E27</f>
        <v>0.9666401102639907</v>
      </c>
      <c r="C29" s="89">
        <f>образование!H27</f>
        <v>1.1711464666302585</v>
      </c>
      <c r="D29" s="90">
        <f>'коэффициент масштаба'!C26</f>
        <v>1.0995582695013977</v>
      </c>
      <c r="E29" s="89">
        <f t="shared" si="0"/>
        <v>1.1141638433476309</v>
      </c>
      <c r="F29" s="127"/>
      <c r="G29" s="122"/>
      <c r="H29" s="122"/>
    </row>
    <row r="30" spans="1:8" ht="15.75">
      <c r="A30" s="88" t="s">
        <v>18</v>
      </c>
      <c r="B30" s="89">
        <f>образование!E28</f>
        <v>0.7662345860767817</v>
      </c>
      <c r="C30" s="89">
        <f>образование!H28</f>
        <v>0.9923654685304075</v>
      </c>
      <c r="D30" s="90">
        <f>'коэффициент масштаба'!C27</f>
        <v>1.0961406703806316</v>
      </c>
      <c r="E30" s="89">
        <f t="shared" si="0"/>
        <v>1.0782072097993711</v>
      </c>
      <c r="F30" s="127"/>
      <c r="G30" s="122"/>
      <c r="H30" s="122"/>
    </row>
    <row r="31" spans="1:8" ht="15.75">
      <c r="A31" s="88" t="s">
        <v>19</v>
      </c>
      <c r="B31" s="89">
        <f>образование!E29</f>
        <v>0.9932567585594653</v>
      </c>
      <c r="C31" s="89">
        <f>образование!H29</f>
        <v>1.1162772106089494</v>
      </c>
      <c r="D31" s="90">
        <f>'коэффициент масштаба'!C28</f>
        <v>1.0941925120692115</v>
      </c>
      <c r="E31" s="89">
        <f t="shared" si="0"/>
        <v>1.1052348083889947</v>
      </c>
      <c r="F31" s="127"/>
      <c r="G31" s="122"/>
      <c r="H31" s="122"/>
    </row>
    <row r="32" spans="1:8" ht="15.75">
      <c r="A32" s="88" t="s">
        <v>20</v>
      </c>
      <c r="B32" s="89">
        <f>образование!E30</f>
        <v>0.7187794904115025</v>
      </c>
      <c r="C32" s="89">
        <f>образование!H30</f>
        <v>0.9743236619080385</v>
      </c>
      <c r="D32" s="90">
        <f>'коэффициент масштаба'!C29</f>
        <v>1.099226795498858</v>
      </c>
      <c r="E32" s="89">
        <f t="shared" si="0"/>
        <v>1.0759482113370236</v>
      </c>
      <c r="F32" s="127"/>
      <c r="G32" s="122"/>
      <c r="H32" s="122"/>
    </row>
    <row r="33" spans="1:8" ht="15.75">
      <c r="A33" s="88" t="s">
        <v>21</v>
      </c>
      <c r="B33" s="89">
        <f>образование!E31</f>
        <v>0.9094391359804599</v>
      </c>
      <c r="C33" s="89">
        <f>образование!H31</f>
        <v>1.0377581543282706</v>
      </c>
      <c r="D33" s="90">
        <f>'коэффициент масштаба'!C30</f>
        <v>1.0979028369031663</v>
      </c>
      <c r="E33" s="89">
        <f t="shared" si="0"/>
        <v>1.0949976871036564</v>
      </c>
      <c r="F33" s="127"/>
      <c r="G33" s="122"/>
      <c r="H33" s="122"/>
    </row>
    <row r="34" spans="1:8" ht="15.75">
      <c r="A34" s="88" t="s">
        <v>22</v>
      </c>
      <c r="B34" s="89">
        <f>образование!E32</f>
        <v>1.034579586962432</v>
      </c>
      <c r="C34" s="89">
        <f>образование!H32</f>
        <v>1.1103044767547805</v>
      </c>
      <c r="D34" s="90">
        <f>'коэффициент масштаба'!C31</f>
        <v>1.0987674521414594</v>
      </c>
      <c r="E34" s="89">
        <f t="shared" si="0"/>
        <v>1.112304077234227</v>
      </c>
      <c r="F34" s="127"/>
      <c r="G34" s="122"/>
      <c r="H34" s="122"/>
    </row>
    <row r="35" spans="1:8" ht="15.75">
      <c r="A35" s="88" t="s">
        <v>23</v>
      </c>
      <c r="B35" s="89">
        <f>образование!E33</f>
        <v>0.9623939280695782</v>
      </c>
      <c r="C35" s="89">
        <f>образование!H33</f>
        <v>1.1014283621655108</v>
      </c>
      <c r="D35" s="90">
        <f>'коэффициент масштаба'!C32</f>
        <v>1.0915319136194954</v>
      </c>
      <c r="E35" s="89">
        <f t="shared" si="0"/>
        <v>1.098819720572489</v>
      </c>
      <c r="F35" s="127"/>
      <c r="G35" s="122"/>
      <c r="H35" s="122"/>
    </row>
    <row r="36" spans="1:8" ht="15.75">
      <c r="A36" s="91" t="s">
        <v>24</v>
      </c>
      <c r="B36" s="89">
        <f>образование!E34</f>
        <v>0.8736647426641135</v>
      </c>
      <c r="C36" s="89">
        <f>образование!H34</f>
        <v>1.1223038241248715</v>
      </c>
      <c r="D36" s="90">
        <f>'коэффициент масштаба'!C33</f>
        <v>1.0998495861858826</v>
      </c>
      <c r="E36" s="89">
        <f t="shared" si="0"/>
        <v>1.1027339203832016</v>
      </c>
      <c r="F36" s="127"/>
      <c r="G36" s="122"/>
      <c r="H36" s="122"/>
    </row>
    <row r="37" spans="1:8" ht="15.75">
      <c r="A37" s="88" t="s">
        <v>25</v>
      </c>
      <c r="B37" s="89">
        <f>образование!E35</f>
        <v>0.8466796560091445</v>
      </c>
      <c r="C37" s="89">
        <f>образование!H35</f>
        <v>1.0002004887611182</v>
      </c>
      <c r="D37" s="90">
        <f>'коэффициент масштаба'!C34</f>
        <v>1.0958514672392021</v>
      </c>
      <c r="E37" s="89">
        <f t="shared" si="0"/>
        <v>1.0846099939210734</v>
      </c>
      <c r="F37" s="127"/>
      <c r="G37" s="122"/>
      <c r="H37" s="122"/>
    </row>
    <row r="38" spans="1:8" ht="15.75">
      <c r="A38" s="88" t="s">
        <v>26</v>
      </c>
      <c r="B38" s="89">
        <f>образование!E36</f>
        <v>0.8548481389814192</v>
      </c>
      <c r="C38" s="89">
        <f>образование!H36</f>
        <v>1.0042172216829641</v>
      </c>
      <c r="D38" s="90">
        <f>'коэффициент масштаба'!C35</f>
        <v>1.0988423067913422</v>
      </c>
      <c r="E38" s="89">
        <f t="shared" si="0"/>
        <v>1.0885719936162286</v>
      </c>
      <c r="F38" s="127"/>
      <c r="G38" s="122"/>
      <c r="H38" s="122"/>
    </row>
    <row r="39" spans="1:8" ht="15.75">
      <c r="A39" s="88" t="s">
        <v>27</v>
      </c>
      <c r="B39" s="89">
        <f>образование!E37</f>
        <v>0.8369899436453214</v>
      </c>
      <c r="C39" s="89">
        <f>образование!H37</f>
        <v>1.0526322048028554</v>
      </c>
      <c r="D39" s="90">
        <f>'коэффициент масштаба'!C36</f>
        <v>1.097038926179225</v>
      </c>
      <c r="E39" s="89">
        <f t="shared" si="0"/>
        <v>1.0902885137014955</v>
      </c>
      <c r="F39" s="127"/>
      <c r="G39" s="122"/>
      <c r="H39" s="122"/>
    </row>
    <row r="40" spans="1:8" ht="15.75">
      <c r="A40" s="88" t="s">
        <v>28</v>
      </c>
      <c r="B40" s="89">
        <f>образование!E38</f>
        <v>0.819057212941</v>
      </c>
      <c r="C40" s="89">
        <f>образование!H38</f>
        <v>1.1068031477157685</v>
      </c>
      <c r="D40" s="90">
        <f>'коэффициент масштаба'!C37</f>
        <v>1.0976759832818745</v>
      </c>
      <c r="E40" s="89">
        <f t="shared" si="0"/>
        <v>1.094994161963129</v>
      </c>
      <c r="F40" s="127"/>
      <c r="G40" s="122"/>
      <c r="H40" s="122"/>
    </row>
    <row r="41" spans="1:8" ht="15.75">
      <c r="A41" s="88" t="s">
        <v>29</v>
      </c>
      <c r="B41" s="89">
        <f>образование!E39</f>
        <v>0.9048277940955314</v>
      </c>
      <c r="C41" s="89">
        <f>образование!H39</f>
        <v>1.1038265230841766</v>
      </c>
      <c r="D41" s="90">
        <f>'коэффициент масштаба'!C38</f>
        <v>1.0938740715821809</v>
      </c>
      <c r="E41" s="89">
        <f t="shared" si="0"/>
        <v>1.0971947797022648</v>
      </c>
      <c r="F41" s="127"/>
      <c r="G41" s="122"/>
      <c r="H41" s="122"/>
    </row>
    <row r="42" spans="1:8" ht="15.75">
      <c r="A42" s="88" t="s">
        <v>30</v>
      </c>
      <c r="B42" s="89">
        <f>образование!E40</f>
        <v>0.8617450186286226</v>
      </c>
      <c r="C42" s="89">
        <f>образование!H40</f>
        <v>1.1645690002862956</v>
      </c>
      <c r="D42" s="90">
        <f>'коэффициент масштаба'!C39</f>
        <v>1.0877062245604272</v>
      </c>
      <c r="E42" s="89">
        <f t="shared" si="0"/>
        <v>1.0938583398214037</v>
      </c>
      <c r="F42" s="127"/>
      <c r="G42" s="122"/>
      <c r="H42" s="122"/>
    </row>
    <row r="43" spans="1:8" ht="15.75">
      <c r="A43" s="88" t="s">
        <v>31</v>
      </c>
      <c r="B43" s="89">
        <f>образование!E41</f>
        <v>0.8522355596639362</v>
      </c>
      <c r="C43" s="89">
        <f>образование!H41</f>
        <v>1.0992712642372156</v>
      </c>
      <c r="D43" s="90">
        <f>'коэффициент масштаба'!C40</f>
        <v>1.0975194049671786</v>
      </c>
      <c r="E43" s="89">
        <f t="shared" si="0"/>
        <v>1.0965290549000881</v>
      </c>
      <c r="F43" s="127"/>
      <c r="G43" s="122"/>
      <c r="H43" s="122"/>
    </row>
    <row r="44" spans="1:8" ht="15.75">
      <c r="A44" s="88" t="s">
        <v>32</v>
      </c>
      <c r="B44" s="89">
        <f>образование!E42</f>
        <v>0.9185966696218221</v>
      </c>
      <c r="C44" s="89">
        <f>образование!H42</f>
        <v>1.0165949337507318</v>
      </c>
      <c r="D44" s="90">
        <f>'коэффициент масштаба'!C41</f>
        <v>1.0988320913332406</v>
      </c>
      <c r="E44" s="89">
        <f t="shared" si="0"/>
        <v>1.0944902496825406</v>
      </c>
      <c r="F44" s="127"/>
      <c r="G44" s="122"/>
      <c r="H44" s="122"/>
    </row>
    <row r="45" spans="1:8" ht="15.75">
      <c r="A45" s="88" t="s">
        <v>33</v>
      </c>
      <c r="B45" s="89">
        <f>образование!E43</f>
        <v>0.8409658110904361</v>
      </c>
      <c r="C45" s="89">
        <f>образование!H43</f>
        <v>0.9958384884330311</v>
      </c>
      <c r="D45" s="90">
        <f>'коэффициент масштаба'!C42</f>
        <v>1.0991841723805718</v>
      </c>
      <c r="E45" s="89">
        <f t="shared" si="0"/>
        <v>1.0870527875690112</v>
      </c>
      <c r="F45" s="127"/>
      <c r="G45" s="122"/>
      <c r="H45" s="122"/>
    </row>
    <row r="46" spans="1:8" ht="15.75">
      <c r="A46" s="88" t="s">
        <v>34</v>
      </c>
      <c r="B46" s="89">
        <f>образование!E44</f>
        <v>0.8263892490892084</v>
      </c>
      <c r="C46" s="89">
        <f>образование!H44</f>
        <v>1.0173705974741325</v>
      </c>
      <c r="D46" s="90">
        <f>'коэффициент масштаба'!C43</f>
        <v>1.0990534849683058</v>
      </c>
      <c r="E46" s="89">
        <f t="shared" si="0"/>
        <v>1.0879956363390442</v>
      </c>
      <c r="F46" s="127"/>
      <c r="G46" s="122"/>
      <c r="H46" s="122"/>
    </row>
    <row r="47" spans="1:8" ht="15.75">
      <c r="A47" s="88" t="s">
        <v>10</v>
      </c>
      <c r="B47" s="89">
        <f>образование!E45</f>
        <v>0.8252143340551906</v>
      </c>
      <c r="C47" s="89">
        <f>образование!H45</f>
        <v>0.9554250811281092</v>
      </c>
      <c r="D47" s="90">
        <f>'коэффициент масштаба'!C44</f>
        <v>1.0983498512594077</v>
      </c>
      <c r="E47" s="89">
        <f>(B47*B$7+C47*C$7+1-SUM(B$7:C$7))*D47</f>
        <v>1.0810431009263897</v>
      </c>
      <c r="F47" s="127"/>
      <c r="G47" s="122"/>
      <c r="H47" s="122"/>
    </row>
    <row r="48" spans="1:5" ht="15.75">
      <c r="A48" s="92"/>
      <c r="B48" s="92"/>
      <c r="C48" s="92"/>
      <c r="D48" s="92"/>
      <c r="E48" s="92"/>
    </row>
    <row r="49" spans="1:5" ht="30.75" customHeight="1">
      <c r="A49" s="252" t="s">
        <v>147</v>
      </c>
      <c r="B49" s="252"/>
      <c r="C49" s="252"/>
      <c r="D49" s="252"/>
      <c r="E49" s="252"/>
    </row>
    <row r="50" spans="1:6" ht="16.5" customHeight="1">
      <c r="A50" s="250" t="s">
        <v>98</v>
      </c>
      <c r="B50" s="250"/>
      <c r="C50" s="250"/>
      <c r="D50" s="250"/>
      <c r="E50" s="141">
        <v>2946514.97091</v>
      </c>
      <c r="F50" s="54"/>
    </row>
    <row r="51" spans="1:6" ht="15.75">
      <c r="A51" s="250" t="s">
        <v>100</v>
      </c>
      <c r="B51" s="250"/>
      <c r="C51" s="250"/>
      <c r="D51" s="250"/>
      <c r="E51" s="141">
        <v>3986266.93054</v>
      </c>
      <c r="F51" s="54"/>
    </row>
    <row r="52" spans="1:6" ht="15.75">
      <c r="A52" s="251" t="s">
        <v>99</v>
      </c>
      <c r="B52" s="251"/>
      <c r="C52" s="251"/>
      <c r="D52" s="251"/>
      <c r="E52" s="141">
        <v>43961035.48232</v>
      </c>
      <c r="F52" s="54"/>
    </row>
  </sheetData>
  <sheetProtection/>
  <mergeCells count="10">
    <mergeCell ref="A51:D51"/>
    <mergeCell ref="A50:D50"/>
    <mergeCell ref="A52:D52"/>
    <mergeCell ref="A49:E49"/>
    <mergeCell ref="A2:E2"/>
    <mergeCell ref="E5:E7"/>
    <mergeCell ref="A5:A7"/>
    <mergeCell ref="B4:C4"/>
    <mergeCell ref="D4:D7"/>
    <mergeCell ref="B5:C5"/>
  </mergeCells>
  <printOptions gridLines="1" horizontalCentered="1"/>
  <pageMargins left="0.15748031496062992" right="0.15748031496062992" top="0.5118110236220472" bottom="0.15748031496062992" header="0.31496062992125984" footer="0.15748031496062992"/>
  <pageSetup horizontalDpi="300" verticalDpi="300" orientation="portrait" paperSize="9" scale="85" r:id="rId1"/>
  <headerFooter differentFirst="1"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theme="5" tint="-0.24997000396251678"/>
    <pageSetUpPr fitToPage="1"/>
  </sheetPr>
  <dimension ref="A1:L46"/>
  <sheetViews>
    <sheetView view="pageBreakPreview" zoomScale="80" zoomScaleNormal="75" zoomScaleSheetLayoutView="80" zoomScalePageLayoutView="0" workbookViewId="0" topLeftCell="A1">
      <pane xSplit="1" ySplit="6" topLeftCell="B7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G10" sqref="G10"/>
    </sheetView>
  </sheetViews>
  <sheetFormatPr defaultColWidth="9.00390625" defaultRowHeight="12.75"/>
  <cols>
    <col min="1" max="1" width="23.25390625" style="56" customWidth="1"/>
    <col min="2" max="2" width="15.25390625" style="53" customWidth="1"/>
    <col min="3" max="3" width="15.00390625" style="54" customWidth="1"/>
    <col min="4" max="4" width="7.00390625" style="54" customWidth="1"/>
    <col min="5" max="5" width="9.25390625" style="54" customWidth="1"/>
    <col min="6" max="6" width="14.75390625" style="54" customWidth="1"/>
    <col min="7" max="7" width="7.25390625" style="54" customWidth="1"/>
    <col min="8" max="8" width="11.125" style="54" customWidth="1"/>
    <col min="9" max="9" width="9.125" style="53" customWidth="1"/>
    <col min="10" max="10" width="53.875" style="54" customWidth="1"/>
    <col min="11" max="11" width="12.125" style="54" bestFit="1" customWidth="1"/>
    <col min="12" max="12" width="9.125" style="54" customWidth="1"/>
    <col min="13" max="16384" width="9.125" style="53" customWidth="1"/>
  </cols>
  <sheetData>
    <row r="1" spans="1:8" ht="15.75">
      <c r="A1" s="66"/>
      <c r="B1" s="64"/>
      <c r="C1" s="64"/>
      <c r="D1" s="64"/>
      <c r="E1" s="64"/>
      <c r="F1" s="64"/>
      <c r="G1" s="64"/>
      <c r="H1" s="65" t="s">
        <v>191</v>
      </c>
    </row>
    <row r="2" spans="1:8" ht="15.75" customHeight="1">
      <c r="A2" s="262" t="s">
        <v>111</v>
      </c>
      <c r="B2" s="262"/>
      <c r="C2" s="262"/>
      <c r="D2" s="262"/>
      <c r="E2" s="262"/>
      <c r="F2" s="262"/>
      <c r="G2" s="262"/>
      <c r="H2" s="262"/>
    </row>
    <row r="3" spans="1:8" s="54" customFormat="1" ht="15.75" customHeight="1">
      <c r="A3" s="263" t="s">
        <v>145</v>
      </c>
      <c r="B3" s="263"/>
      <c r="C3" s="263"/>
      <c r="D3" s="263"/>
      <c r="E3" s="263"/>
      <c r="F3" s="263"/>
      <c r="G3" s="263"/>
      <c r="H3" s="263"/>
    </row>
    <row r="4" spans="1:8" s="54" customFormat="1" ht="12" customHeight="1">
      <c r="A4" s="135"/>
      <c r="B4" s="135"/>
      <c r="C4" s="135"/>
      <c r="D4" s="135"/>
      <c r="E4" s="135"/>
      <c r="F4" s="135"/>
      <c r="G4" s="135"/>
      <c r="H4" s="135"/>
    </row>
    <row r="5" spans="1:12" s="55" customFormat="1" ht="69" customHeight="1">
      <c r="A5" s="59" t="s">
        <v>49</v>
      </c>
      <c r="B5" s="59" t="s">
        <v>132</v>
      </c>
      <c r="C5" s="59" t="s">
        <v>110</v>
      </c>
      <c r="D5" s="59" t="s">
        <v>108</v>
      </c>
      <c r="E5" s="59" t="str">
        <f>"Индекс (дошк.)
(4)/"&amp;ROUND(D46,1)</f>
        <v>Индекс (дошк.)
(4)/55,9</v>
      </c>
      <c r="F5" s="59" t="s">
        <v>109</v>
      </c>
      <c r="G5" s="59" t="s">
        <v>108</v>
      </c>
      <c r="H5" s="59" t="str">
        <f>"Индекс (школьн.)
(7)/"&amp;ROUND(G46,1)</f>
        <v>Индекс (школьн.)
(7)/119,1</v>
      </c>
      <c r="J5" s="54"/>
      <c r="K5" s="54"/>
      <c r="L5" s="54"/>
    </row>
    <row r="6" spans="1:12" s="55" customFormat="1" ht="15.75">
      <c r="A6" s="58" t="s">
        <v>38</v>
      </c>
      <c r="B6" s="58" t="s">
        <v>39</v>
      </c>
      <c r="C6" s="58" t="s">
        <v>40</v>
      </c>
      <c r="D6" s="58" t="s">
        <v>41</v>
      </c>
      <c r="E6" s="58" t="s">
        <v>42</v>
      </c>
      <c r="F6" s="58" t="s">
        <v>46</v>
      </c>
      <c r="G6" s="58" t="s">
        <v>43</v>
      </c>
      <c r="H6" s="58" t="s">
        <v>45</v>
      </c>
      <c r="J6" s="54"/>
      <c r="K6" s="54"/>
      <c r="L6" s="54"/>
    </row>
    <row r="7" spans="1:8" s="54" customFormat="1" ht="15.75">
      <c r="A7" s="14" t="s">
        <v>116</v>
      </c>
      <c r="B7" s="92"/>
      <c r="C7" s="93"/>
      <c r="D7" s="93"/>
      <c r="E7" s="93"/>
      <c r="F7" s="93"/>
      <c r="G7" s="93"/>
      <c r="H7" s="93"/>
    </row>
    <row r="8" spans="1:10" ht="15.75">
      <c r="A8" s="88" t="s">
        <v>0</v>
      </c>
      <c r="B8" s="94">
        <v>1156695</v>
      </c>
      <c r="C8" s="13">
        <v>69410</v>
      </c>
      <c r="D8" s="95">
        <f>C8/$B8*1000</f>
        <v>60.00717561673561</v>
      </c>
      <c r="E8" s="96">
        <f>D8/D$46</f>
        <v>1.0742160489549222</v>
      </c>
      <c r="F8" s="107">
        <v>125811</v>
      </c>
      <c r="G8" s="95">
        <f>F8/$B8*1000</f>
        <v>108.76765266556872</v>
      </c>
      <c r="H8" s="96">
        <f>G8/G$46</f>
        <v>0.9134931380819405</v>
      </c>
      <c r="J8" s="128"/>
    </row>
    <row r="9" spans="1:10" ht="15.75">
      <c r="A9" s="88" t="s">
        <v>1</v>
      </c>
      <c r="B9" s="94">
        <v>699429</v>
      </c>
      <c r="C9" s="13">
        <v>38364</v>
      </c>
      <c r="D9" s="95">
        <f aca="true" t="shared" si="0" ref="D9:D17">C9/$B9*1000</f>
        <v>54.85045658673003</v>
      </c>
      <c r="E9" s="96">
        <f aca="true" t="shared" si="1" ref="E9:E45">D9/D$46</f>
        <v>0.9819032499429599</v>
      </c>
      <c r="F9" s="97">
        <v>86509</v>
      </c>
      <c r="G9" s="95">
        <f aca="true" t="shared" si="2" ref="G9:G17">F9/$B9*1000</f>
        <v>123.68517748048765</v>
      </c>
      <c r="H9" s="96">
        <f aca="true" t="shared" si="3" ref="H9:H45">G9/G$46</f>
        <v>1.0387790684264617</v>
      </c>
      <c r="J9" s="128"/>
    </row>
    <row r="10" spans="1:10" ht="15.75">
      <c r="A10" s="88" t="s">
        <v>2</v>
      </c>
      <c r="B10" s="94">
        <v>167858</v>
      </c>
      <c r="C10" s="13">
        <v>8986</v>
      </c>
      <c r="D10" s="95">
        <f t="shared" si="0"/>
        <v>53.53334365952174</v>
      </c>
      <c r="E10" s="96">
        <f t="shared" si="1"/>
        <v>0.9583250056721438</v>
      </c>
      <c r="F10" s="97">
        <v>20402</v>
      </c>
      <c r="G10" s="95">
        <f t="shared" si="2"/>
        <v>121.5432091410597</v>
      </c>
      <c r="H10" s="96">
        <f t="shared" si="3"/>
        <v>1.020789589642062</v>
      </c>
      <c r="J10" s="128"/>
    </row>
    <row r="11" spans="1:10" ht="15.75">
      <c r="A11" s="88" t="s">
        <v>11</v>
      </c>
      <c r="B11" s="94">
        <v>102585</v>
      </c>
      <c r="C11" s="13">
        <v>5267</v>
      </c>
      <c r="D11" s="95">
        <f t="shared" si="0"/>
        <v>51.34278890676025</v>
      </c>
      <c r="E11" s="96">
        <f t="shared" si="1"/>
        <v>0.919110877572527</v>
      </c>
      <c r="F11" s="97">
        <v>11680</v>
      </c>
      <c r="G11" s="95">
        <f t="shared" si="2"/>
        <v>113.85680167665838</v>
      </c>
      <c r="H11" s="96">
        <f t="shared" si="3"/>
        <v>0.9562347307004834</v>
      </c>
      <c r="J11" s="128"/>
    </row>
    <row r="12" spans="1:10" ht="15.75">
      <c r="A12" s="88" t="s">
        <v>3</v>
      </c>
      <c r="B12" s="94">
        <v>71720</v>
      </c>
      <c r="C12" s="13">
        <v>4010</v>
      </c>
      <c r="D12" s="95">
        <f t="shared" si="0"/>
        <v>55.91187953151144</v>
      </c>
      <c r="E12" s="96">
        <f t="shared" si="1"/>
        <v>1.0009042702425253</v>
      </c>
      <c r="F12" s="97">
        <v>9119</v>
      </c>
      <c r="G12" s="95">
        <f t="shared" si="2"/>
        <v>127.14723926380367</v>
      </c>
      <c r="H12" s="96">
        <f t="shared" si="3"/>
        <v>1.06785544918094</v>
      </c>
      <c r="J12" s="128"/>
    </row>
    <row r="13" spans="1:10" ht="15.75">
      <c r="A13" s="88" t="s">
        <v>4</v>
      </c>
      <c r="B13" s="94">
        <v>47067</v>
      </c>
      <c r="C13" s="13">
        <v>2577</v>
      </c>
      <c r="D13" s="95">
        <f t="shared" si="0"/>
        <v>54.751736885716106</v>
      </c>
      <c r="E13" s="96">
        <f t="shared" si="1"/>
        <v>0.9801360231723731</v>
      </c>
      <c r="F13" s="97">
        <v>6033</v>
      </c>
      <c r="G13" s="95">
        <f t="shared" si="2"/>
        <v>128.1789789024157</v>
      </c>
      <c r="H13" s="96">
        <f t="shared" si="3"/>
        <v>1.0765205904896076</v>
      </c>
      <c r="J13" s="128"/>
    </row>
    <row r="14" spans="1:10" ht="15.75">
      <c r="A14" s="88" t="s">
        <v>12</v>
      </c>
      <c r="B14" s="94">
        <v>55720</v>
      </c>
      <c r="C14" s="13">
        <v>2880</v>
      </c>
      <c r="D14" s="95">
        <f t="shared" si="0"/>
        <v>51.68700646087581</v>
      </c>
      <c r="E14" s="96">
        <f t="shared" si="1"/>
        <v>0.925272874319793</v>
      </c>
      <c r="F14" s="97">
        <v>7049</v>
      </c>
      <c r="G14" s="95">
        <f t="shared" si="2"/>
        <v>126.50753768844223</v>
      </c>
      <c r="H14" s="96">
        <f t="shared" si="3"/>
        <v>1.0624828684072274</v>
      </c>
      <c r="J14" s="128"/>
    </row>
    <row r="15" spans="1:10" ht="15.75">
      <c r="A15" s="88" t="s">
        <v>5</v>
      </c>
      <c r="B15" s="94">
        <v>26306</v>
      </c>
      <c r="C15" s="13">
        <v>1242</v>
      </c>
      <c r="D15" s="95">
        <f t="shared" si="0"/>
        <v>47.213563445601764</v>
      </c>
      <c r="E15" s="96">
        <f t="shared" si="1"/>
        <v>0.8451917134968785</v>
      </c>
      <c r="F15" s="97">
        <v>3272</v>
      </c>
      <c r="G15" s="95">
        <f t="shared" si="2"/>
        <v>124.38227020451608</v>
      </c>
      <c r="H15" s="96">
        <f t="shared" si="3"/>
        <v>1.0446336529872298</v>
      </c>
      <c r="J15" s="128"/>
    </row>
    <row r="16" spans="1:10" ht="15.75">
      <c r="A16" s="88" t="s">
        <v>6</v>
      </c>
      <c r="B16" s="94">
        <v>58384</v>
      </c>
      <c r="C16" s="13">
        <v>3770</v>
      </c>
      <c r="D16" s="95">
        <f t="shared" si="0"/>
        <v>64.57248561249658</v>
      </c>
      <c r="E16" s="96">
        <f t="shared" si="1"/>
        <v>1.1559417628465962</v>
      </c>
      <c r="F16" s="97">
        <v>7441</v>
      </c>
      <c r="G16" s="95">
        <f t="shared" si="2"/>
        <v>127.44930117840505</v>
      </c>
      <c r="H16" s="96">
        <f t="shared" si="3"/>
        <v>1.0703923384076723</v>
      </c>
      <c r="J16" s="128"/>
    </row>
    <row r="17" spans="1:10" ht="15.75">
      <c r="A17" s="88" t="s">
        <v>13</v>
      </c>
      <c r="B17" s="94">
        <v>28918</v>
      </c>
      <c r="C17" s="13">
        <v>1681</v>
      </c>
      <c r="D17" s="95">
        <f t="shared" si="0"/>
        <v>58.129884501002834</v>
      </c>
      <c r="E17" s="96">
        <f t="shared" si="1"/>
        <v>1.0406097972966086</v>
      </c>
      <c r="F17" s="97">
        <v>3834</v>
      </c>
      <c r="G17" s="95">
        <f t="shared" si="2"/>
        <v>132.58178297254307</v>
      </c>
      <c r="H17" s="96">
        <f t="shared" si="3"/>
        <v>1.113497864594685</v>
      </c>
      <c r="J17" s="128"/>
    </row>
    <row r="18" spans="1:10" ht="15.75">
      <c r="A18" s="88" t="s">
        <v>101</v>
      </c>
      <c r="B18" s="98"/>
      <c r="C18" s="99"/>
      <c r="D18" s="95"/>
      <c r="E18" s="96"/>
      <c r="F18" s="97"/>
      <c r="G18" s="95"/>
      <c r="H18" s="96"/>
      <c r="J18" s="128"/>
    </row>
    <row r="19" spans="1:10" ht="15.75">
      <c r="A19" s="88" t="s">
        <v>14</v>
      </c>
      <c r="B19" s="94">
        <v>11457</v>
      </c>
      <c r="C19" s="13">
        <v>612</v>
      </c>
      <c r="D19" s="95">
        <f>C19/$B19*1000</f>
        <v>53.41712490180676</v>
      </c>
      <c r="E19" s="96">
        <f t="shared" si="1"/>
        <v>0.9562445202394614</v>
      </c>
      <c r="F19" s="97">
        <v>1515</v>
      </c>
      <c r="G19" s="95">
        <f>F19/$B19*1000</f>
        <v>132.23356899711965</v>
      </c>
      <c r="H19" s="96">
        <f t="shared" si="3"/>
        <v>1.110573363887553</v>
      </c>
      <c r="J19" s="128"/>
    </row>
    <row r="20" spans="1:10" ht="15.75">
      <c r="A20" s="88" t="s">
        <v>15</v>
      </c>
      <c r="B20" s="94">
        <v>38938</v>
      </c>
      <c r="C20" s="13">
        <v>2023</v>
      </c>
      <c r="D20" s="95">
        <f aca="true" t="shared" si="4" ref="D20:D45">C20/$B20*1000</f>
        <v>51.95438902871231</v>
      </c>
      <c r="E20" s="96">
        <f t="shared" si="1"/>
        <v>0.9300594126400642</v>
      </c>
      <c r="F20" s="97">
        <v>4775</v>
      </c>
      <c r="G20" s="95">
        <f aca="true" t="shared" si="5" ref="G20:G44">F20/$B20*1000</f>
        <v>122.63084904206688</v>
      </c>
      <c r="H20" s="96">
        <f t="shared" si="3"/>
        <v>1.0299242134196762</v>
      </c>
      <c r="J20" s="128"/>
    </row>
    <row r="21" spans="1:10" ht="15.75">
      <c r="A21" s="88" t="s">
        <v>16</v>
      </c>
      <c r="B21" s="94">
        <v>14227</v>
      </c>
      <c r="C21" s="13">
        <v>760</v>
      </c>
      <c r="D21" s="95">
        <f t="shared" si="4"/>
        <v>53.41955436845434</v>
      </c>
      <c r="E21" s="96">
        <f t="shared" si="1"/>
        <v>0.9562880112392695</v>
      </c>
      <c r="F21" s="97">
        <v>1840</v>
      </c>
      <c r="G21" s="95">
        <f t="shared" si="5"/>
        <v>129.33155268152106</v>
      </c>
      <c r="H21" s="96">
        <f t="shared" si="3"/>
        <v>1.0862005662226797</v>
      </c>
      <c r="J21" s="128"/>
    </row>
    <row r="22" spans="1:10" ht="15.75">
      <c r="A22" s="88" t="s">
        <v>36</v>
      </c>
      <c r="B22" s="94">
        <v>18081</v>
      </c>
      <c r="C22" s="13">
        <v>977</v>
      </c>
      <c r="D22" s="95">
        <f t="shared" si="4"/>
        <v>54.03462197887285</v>
      </c>
      <c r="E22" s="96">
        <f t="shared" si="1"/>
        <v>0.9672986194125968</v>
      </c>
      <c r="F22" s="97">
        <v>2170</v>
      </c>
      <c r="G22" s="95">
        <f t="shared" si="5"/>
        <v>120.0154858691444</v>
      </c>
      <c r="H22" s="96">
        <f t="shared" si="3"/>
        <v>1.00795889327617</v>
      </c>
      <c r="J22" s="128"/>
    </row>
    <row r="23" spans="1:10" ht="15.75">
      <c r="A23" s="88" t="s">
        <v>37</v>
      </c>
      <c r="B23" s="94">
        <v>17064</v>
      </c>
      <c r="C23" s="13">
        <v>1209</v>
      </c>
      <c r="D23" s="95">
        <f t="shared" si="4"/>
        <v>70.8509142053446</v>
      </c>
      <c r="E23" s="96">
        <f t="shared" si="1"/>
        <v>1.2683348006347943</v>
      </c>
      <c r="F23" s="97">
        <v>2500</v>
      </c>
      <c r="G23" s="95">
        <f t="shared" si="5"/>
        <v>146.50726676043132</v>
      </c>
      <c r="H23" s="96">
        <f t="shared" si="3"/>
        <v>1.2304520653424051</v>
      </c>
      <c r="J23" s="128"/>
    </row>
    <row r="24" spans="1:10" ht="15.75">
      <c r="A24" s="88" t="s">
        <v>7</v>
      </c>
      <c r="B24" s="94">
        <v>23150</v>
      </c>
      <c r="C24" s="13">
        <v>1281</v>
      </c>
      <c r="D24" s="95">
        <f t="shared" si="4"/>
        <v>55.33477321814255</v>
      </c>
      <c r="E24" s="96">
        <f t="shared" si="1"/>
        <v>0.9905732247066782</v>
      </c>
      <c r="F24" s="97">
        <v>2899</v>
      </c>
      <c r="G24" s="95">
        <f t="shared" si="5"/>
        <v>125.2267818574514</v>
      </c>
      <c r="H24" s="96">
        <f t="shared" si="3"/>
        <v>1.0517263462749913</v>
      </c>
      <c r="J24" s="128"/>
    </row>
    <row r="25" spans="1:10" ht="15.75">
      <c r="A25" s="88" t="s">
        <v>8</v>
      </c>
      <c r="B25" s="94">
        <v>117332</v>
      </c>
      <c r="C25" s="13">
        <v>6695</v>
      </c>
      <c r="D25" s="95">
        <f t="shared" si="4"/>
        <v>57.06030750349436</v>
      </c>
      <c r="E25" s="96">
        <f t="shared" si="1"/>
        <v>1.0214628075489993</v>
      </c>
      <c r="F25" s="97">
        <v>14546</v>
      </c>
      <c r="G25" s="95">
        <f t="shared" si="5"/>
        <v>123.97299969317834</v>
      </c>
      <c r="H25" s="96">
        <f t="shared" si="3"/>
        <v>1.0411963644684101</v>
      </c>
      <c r="J25" s="128"/>
    </row>
    <row r="26" spans="1:10" ht="15.75">
      <c r="A26" s="88" t="s">
        <v>9</v>
      </c>
      <c r="B26" s="94">
        <v>9360</v>
      </c>
      <c r="C26" s="13">
        <v>474</v>
      </c>
      <c r="D26" s="95">
        <f t="shared" si="4"/>
        <v>50.64102564102564</v>
      </c>
      <c r="E26" s="96">
        <f t="shared" si="1"/>
        <v>0.9065482906006967</v>
      </c>
      <c r="F26" s="97">
        <v>1122</v>
      </c>
      <c r="G26" s="95">
        <f t="shared" si="5"/>
        <v>119.87179487179488</v>
      </c>
      <c r="H26" s="96">
        <f t="shared" si="3"/>
        <v>1.006752093856801</v>
      </c>
      <c r="J26" s="128"/>
    </row>
    <row r="27" spans="1:10" ht="15.75">
      <c r="A27" s="88" t="s">
        <v>17</v>
      </c>
      <c r="B27" s="94">
        <v>12019</v>
      </c>
      <c r="C27" s="13">
        <v>649</v>
      </c>
      <c r="D27" s="95">
        <f t="shared" si="4"/>
        <v>53.997836758465766</v>
      </c>
      <c r="E27" s="96">
        <f t="shared" si="1"/>
        <v>0.9666401102639907</v>
      </c>
      <c r="F27" s="97">
        <v>1676</v>
      </c>
      <c r="G27" s="95">
        <f t="shared" si="5"/>
        <v>139.44587736084532</v>
      </c>
      <c r="H27" s="96">
        <f t="shared" si="3"/>
        <v>1.1711464666302585</v>
      </c>
      <c r="J27" s="128"/>
    </row>
    <row r="28" spans="1:10" ht="15.75">
      <c r="A28" s="88" t="s">
        <v>18</v>
      </c>
      <c r="B28" s="94">
        <v>31610</v>
      </c>
      <c r="C28" s="13">
        <v>1353</v>
      </c>
      <c r="D28" s="95">
        <f t="shared" si="4"/>
        <v>42.80291047136982</v>
      </c>
      <c r="E28" s="96">
        <f t="shared" si="1"/>
        <v>0.7662345860767817</v>
      </c>
      <c r="F28" s="97">
        <v>3735</v>
      </c>
      <c r="G28" s="95">
        <f t="shared" si="5"/>
        <v>118.15881050300537</v>
      </c>
      <c r="H28" s="96">
        <f t="shared" si="3"/>
        <v>0.9923654685304075</v>
      </c>
      <c r="J28" s="128"/>
    </row>
    <row r="29" spans="1:10" ht="15.75">
      <c r="A29" s="88" t="s">
        <v>19</v>
      </c>
      <c r="B29" s="94">
        <v>43111</v>
      </c>
      <c r="C29" s="13">
        <v>2392</v>
      </c>
      <c r="D29" s="95">
        <f t="shared" si="4"/>
        <v>55.48467908422444</v>
      </c>
      <c r="E29" s="96">
        <f t="shared" si="1"/>
        <v>0.9932567585594653</v>
      </c>
      <c r="F29" s="97">
        <v>5730</v>
      </c>
      <c r="G29" s="95">
        <f t="shared" si="5"/>
        <v>132.91271369256106</v>
      </c>
      <c r="H29" s="96">
        <f t="shared" si="3"/>
        <v>1.1162772106089494</v>
      </c>
      <c r="J29" s="128"/>
    </row>
    <row r="30" spans="1:10" ht="15.75">
      <c r="A30" s="88" t="s">
        <v>20</v>
      </c>
      <c r="B30" s="94">
        <v>13947</v>
      </c>
      <c r="C30" s="13">
        <v>560</v>
      </c>
      <c r="D30" s="95">
        <f t="shared" si="4"/>
        <v>40.152004015200404</v>
      </c>
      <c r="E30" s="96">
        <f t="shared" si="1"/>
        <v>0.7187794904115025</v>
      </c>
      <c r="F30" s="97">
        <v>1618</v>
      </c>
      <c r="G30" s="95">
        <f t="shared" si="5"/>
        <v>116.01061160106116</v>
      </c>
      <c r="H30" s="96">
        <f t="shared" si="3"/>
        <v>0.9743236619080385</v>
      </c>
      <c r="J30" s="128"/>
    </row>
    <row r="31" spans="1:10" ht="15.75">
      <c r="A31" s="88" t="s">
        <v>21</v>
      </c>
      <c r="B31" s="94">
        <v>21495</v>
      </c>
      <c r="C31" s="13">
        <v>1092</v>
      </c>
      <c r="D31" s="95">
        <f t="shared" si="4"/>
        <v>50.80251221214236</v>
      </c>
      <c r="E31" s="96">
        <f t="shared" si="1"/>
        <v>0.9094391359804599</v>
      </c>
      <c r="F31" s="97">
        <v>2656</v>
      </c>
      <c r="G31" s="95">
        <f t="shared" si="5"/>
        <v>123.56361944638287</v>
      </c>
      <c r="H31" s="96">
        <f t="shared" si="3"/>
        <v>1.0377581543282706</v>
      </c>
      <c r="J31" s="128"/>
    </row>
    <row r="32" spans="1:10" ht="15.75">
      <c r="A32" s="88" t="s">
        <v>22</v>
      </c>
      <c r="B32" s="94">
        <v>16611</v>
      </c>
      <c r="C32" s="13">
        <v>960</v>
      </c>
      <c r="D32" s="95">
        <f t="shared" si="4"/>
        <v>57.79302871591115</v>
      </c>
      <c r="E32" s="96">
        <f t="shared" si="1"/>
        <v>1.034579586962432</v>
      </c>
      <c r="F32" s="97">
        <v>2196</v>
      </c>
      <c r="G32" s="95">
        <f t="shared" si="5"/>
        <v>132.20155318764674</v>
      </c>
      <c r="H32" s="96">
        <f t="shared" si="3"/>
        <v>1.1103044767547805</v>
      </c>
      <c r="J32" s="128"/>
    </row>
    <row r="33" spans="1:10" ht="15.75">
      <c r="A33" s="88" t="s">
        <v>23</v>
      </c>
      <c r="B33" s="94">
        <v>57570</v>
      </c>
      <c r="C33" s="13">
        <v>3095</v>
      </c>
      <c r="D33" s="95">
        <f t="shared" si="4"/>
        <v>53.760639221816916</v>
      </c>
      <c r="E33" s="96">
        <f t="shared" si="1"/>
        <v>0.9623939280695782</v>
      </c>
      <c r="F33" s="97">
        <v>7550</v>
      </c>
      <c r="G33" s="95">
        <f t="shared" si="5"/>
        <v>131.14469341671008</v>
      </c>
      <c r="H33" s="96">
        <f t="shared" si="3"/>
        <v>1.1014283621655108</v>
      </c>
      <c r="J33" s="128"/>
    </row>
    <row r="34" spans="1:10" ht="15.75">
      <c r="A34" s="91" t="s">
        <v>24</v>
      </c>
      <c r="B34" s="94">
        <v>10327</v>
      </c>
      <c r="C34" s="13">
        <v>504</v>
      </c>
      <c r="D34" s="95">
        <f t="shared" si="4"/>
        <v>48.804105742229105</v>
      </c>
      <c r="E34" s="96">
        <f t="shared" si="1"/>
        <v>0.8736647426641135</v>
      </c>
      <c r="F34" s="97">
        <v>1380</v>
      </c>
      <c r="G34" s="95">
        <f t="shared" si="5"/>
        <v>133.630289532294</v>
      </c>
      <c r="H34" s="96">
        <f t="shared" si="3"/>
        <v>1.1223038241248715</v>
      </c>
      <c r="J34" s="128"/>
    </row>
    <row r="35" spans="1:10" ht="15.75">
      <c r="A35" s="88" t="s">
        <v>25</v>
      </c>
      <c r="B35" s="94">
        <v>32941</v>
      </c>
      <c r="C35" s="13">
        <v>1558</v>
      </c>
      <c r="D35" s="95">
        <f t="shared" si="4"/>
        <v>47.296681946510425</v>
      </c>
      <c r="E35" s="96">
        <f t="shared" si="1"/>
        <v>0.8466796560091445</v>
      </c>
      <c r="F35" s="97">
        <v>3923</v>
      </c>
      <c r="G35" s="95">
        <f t="shared" si="5"/>
        <v>119.09170941987189</v>
      </c>
      <c r="H35" s="96">
        <f t="shared" si="3"/>
        <v>1.0002004887611182</v>
      </c>
      <c r="J35" s="128"/>
    </row>
    <row r="36" spans="1:10" ht="15.75">
      <c r="A36" s="88" t="s">
        <v>26</v>
      </c>
      <c r="B36" s="94">
        <v>15999</v>
      </c>
      <c r="C36" s="13">
        <v>764</v>
      </c>
      <c r="D36" s="95">
        <f t="shared" si="4"/>
        <v>47.752984561535094</v>
      </c>
      <c r="E36" s="96">
        <f t="shared" si="1"/>
        <v>0.8548481389814192</v>
      </c>
      <c r="F36" s="97">
        <v>1913</v>
      </c>
      <c r="G36" s="95">
        <f t="shared" si="5"/>
        <v>119.56997312332021</v>
      </c>
      <c r="H36" s="96">
        <f t="shared" si="3"/>
        <v>1.0042172216829641</v>
      </c>
      <c r="J36" s="128"/>
    </row>
    <row r="37" spans="1:10" ht="15.75">
      <c r="A37" s="88" t="s">
        <v>27</v>
      </c>
      <c r="B37" s="94">
        <v>26521</v>
      </c>
      <c r="C37" s="13">
        <v>1240</v>
      </c>
      <c r="D37" s="95">
        <f t="shared" si="4"/>
        <v>46.755401380038464</v>
      </c>
      <c r="E37" s="96">
        <f t="shared" si="1"/>
        <v>0.8369899436453214</v>
      </c>
      <c r="F37" s="97">
        <v>3324</v>
      </c>
      <c r="G37" s="95">
        <f t="shared" si="5"/>
        <v>125.33464047358697</v>
      </c>
      <c r="H37" s="96">
        <f t="shared" si="3"/>
        <v>1.0526322048028554</v>
      </c>
      <c r="J37" s="128"/>
    </row>
    <row r="38" spans="1:10" ht="15.75">
      <c r="A38" s="88" t="s">
        <v>28</v>
      </c>
      <c r="B38" s="94">
        <v>22643</v>
      </c>
      <c r="C38" s="13">
        <v>1036</v>
      </c>
      <c r="D38" s="95">
        <f t="shared" si="4"/>
        <v>45.753654551075385</v>
      </c>
      <c r="E38" s="96">
        <f t="shared" si="1"/>
        <v>0.819057212941</v>
      </c>
      <c r="F38" s="97">
        <v>2984</v>
      </c>
      <c r="G38" s="95">
        <f t="shared" si="5"/>
        <v>131.78465751004725</v>
      </c>
      <c r="H38" s="96">
        <f t="shared" si="3"/>
        <v>1.1068031477157685</v>
      </c>
      <c r="J38" s="128"/>
    </row>
    <row r="39" spans="1:10" ht="15.75">
      <c r="A39" s="88" t="s">
        <v>29</v>
      </c>
      <c r="B39" s="94">
        <v>44594</v>
      </c>
      <c r="C39" s="13">
        <v>2254</v>
      </c>
      <c r="D39" s="95">
        <f t="shared" si="4"/>
        <v>50.54491635646051</v>
      </c>
      <c r="E39" s="96">
        <f t="shared" si="1"/>
        <v>0.9048277940955314</v>
      </c>
      <c r="F39" s="97">
        <v>5861</v>
      </c>
      <c r="G39" s="95">
        <f t="shared" si="5"/>
        <v>131.4302372516482</v>
      </c>
      <c r="H39" s="96">
        <f t="shared" si="3"/>
        <v>1.1038265230841766</v>
      </c>
      <c r="J39" s="128"/>
    </row>
    <row r="40" spans="1:10" ht="15.75">
      <c r="A40" s="88" t="s">
        <v>30</v>
      </c>
      <c r="B40" s="94">
        <v>78233</v>
      </c>
      <c r="C40" s="13">
        <v>3766</v>
      </c>
      <c r="D40" s="95">
        <f t="shared" si="4"/>
        <v>48.138253678115376</v>
      </c>
      <c r="E40" s="96">
        <f t="shared" si="1"/>
        <v>0.8617450186286226</v>
      </c>
      <c r="F40" s="97">
        <v>10848</v>
      </c>
      <c r="G40" s="95">
        <f t="shared" si="5"/>
        <v>138.66271266601052</v>
      </c>
      <c r="H40" s="96">
        <f t="shared" si="3"/>
        <v>1.1645690002862956</v>
      </c>
      <c r="J40" s="128"/>
    </row>
    <row r="41" spans="1:10" ht="15.75">
      <c r="A41" s="88" t="s">
        <v>31</v>
      </c>
      <c r="B41" s="94">
        <v>23799</v>
      </c>
      <c r="C41" s="13">
        <v>1133</v>
      </c>
      <c r="D41" s="95">
        <f t="shared" si="4"/>
        <v>47.60704231270221</v>
      </c>
      <c r="E41" s="96">
        <f t="shared" si="1"/>
        <v>0.8522355596639362</v>
      </c>
      <c r="F41" s="97">
        <v>3115</v>
      </c>
      <c r="G41" s="95">
        <f t="shared" si="5"/>
        <v>130.88785243077442</v>
      </c>
      <c r="H41" s="96">
        <f t="shared" si="3"/>
        <v>1.0992712642372156</v>
      </c>
      <c r="J41" s="128"/>
    </row>
    <row r="42" spans="1:10" ht="15.75">
      <c r="A42" s="88" t="s">
        <v>32</v>
      </c>
      <c r="B42" s="94">
        <v>16019</v>
      </c>
      <c r="C42" s="13">
        <v>822</v>
      </c>
      <c r="D42" s="95">
        <f t="shared" si="4"/>
        <v>51.31406454834884</v>
      </c>
      <c r="E42" s="96">
        <f t="shared" si="1"/>
        <v>0.9185966696218221</v>
      </c>
      <c r="F42" s="97">
        <v>1939</v>
      </c>
      <c r="G42" s="95">
        <f t="shared" si="5"/>
        <v>121.04376053436545</v>
      </c>
      <c r="H42" s="96">
        <f t="shared" si="3"/>
        <v>1.0165949337507318</v>
      </c>
      <c r="J42" s="128"/>
    </row>
    <row r="43" spans="1:10" ht="15.75">
      <c r="A43" s="88" t="s">
        <v>33</v>
      </c>
      <c r="B43" s="94">
        <v>14177</v>
      </c>
      <c r="C43" s="13">
        <v>666</v>
      </c>
      <c r="D43" s="95">
        <f t="shared" si="4"/>
        <v>46.97749876560626</v>
      </c>
      <c r="E43" s="96">
        <f t="shared" si="1"/>
        <v>0.8409658110904361</v>
      </c>
      <c r="F43" s="97">
        <v>1681</v>
      </c>
      <c r="G43" s="95">
        <f t="shared" si="5"/>
        <v>118.57233547294913</v>
      </c>
      <c r="H43" s="96">
        <f t="shared" si="3"/>
        <v>0.9958384884330311</v>
      </c>
      <c r="J43" s="128"/>
    </row>
    <row r="44" spans="1:10" ht="15.75">
      <c r="A44" s="88" t="s">
        <v>34</v>
      </c>
      <c r="B44" s="94">
        <v>14752</v>
      </c>
      <c r="C44" s="13">
        <v>681</v>
      </c>
      <c r="D44" s="95">
        <f t="shared" si="4"/>
        <v>46.16323210412148</v>
      </c>
      <c r="E44" s="96">
        <f t="shared" si="1"/>
        <v>0.8263892490892084</v>
      </c>
      <c r="F44" s="97">
        <v>1787</v>
      </c>
      <c r="G44" s="95">
        <f t="shared" si="5"/>
        <v>121.13611713665944</v>
      </c>
      <c r="H44" s="96">
        <f t="shared" si="3"/>
        <v>1.0173705974741325</v>
      </c>
      <c r="J44" s="128"/>
    </row>
    <row r="45" spans="1:10" ht="15.75">
      <c r="A45" s="88" t="s">
        <v>10</v>
      </c>
      <c r="B45" s="94">
        <v>18873</v>
      </c>
      <c r="C45" s="13">
        <v>870</v>
      </c>
      <c r="D45" s="95">
        <f t="shared" si="4"/>
        <v>46.09759974566841</v>
      </c>
      <c r="E45" s="96">
        <f t="shared" si="1"/>
        <v>0.8252143340551906</v>
      </c>
      <c r="F45" s="97">
        <v>2147</v>
      </c>
      <c r="G45" s="95">
        <f>F45/$B45*1000</f>
        <v>113.76039845281619</v>
      </c>
      <c r="H45" s="96">
        <f t="shared" si="3"/>
        <v>0.9554250811281092</v>
      </c>
      <c r="J45" s="128"/>
    </row>
    <row r="46" spans="1:12" s="57" customFormat="1" ht="18.75" customHeight="1">
      <c r="A46" s="100" t="s">
        <v>35</v>
      </c>
      <c r="B46" s="101">
        <f>SUM(B8:B45)</f>
        <v>3179532</v>
      </c>
      <c r="C46" s="101">
        <f>SUM(C8:C45)</f>
        <v>177613</v>
      </c>
      <c r="D46" s="102">
        <f>C46/$B46*1000</f>
        <v>55.86136576074718</v>
      </c>
      <c r="E46" s="103">
        <f>SUM(E8:E45)</f>
        <v>34.490959037349846</v>
      </c>
      <c r="F46" s="101">
        <f>SUM(F8:F45)</f>
        <v>378580</v>
      </c>
      <c r="G46" s="102">
        <f>F46/$B46*1000</f>
        <v>119.06783765661109</v>
      </c>
      <c r="H46" s="103">
        <f>SUM(H8:H45)</f>
        <v>39.07211977407447</v>
      </c>
      <c r="J46" s="54"/>
      <c r="K46" s="54"/>
      <c r="L46" s="54"/>
    </row>
  </sheetData>
  <sheetProtection/>
  <mergeCells count="2">
    <mergeCell ref="A2:H2"/>
    <mergeCell ref="A3:H3"/>
  </mergeCells>
  <printOptions gridLines="1" horizontalCentered="1"/>
  <pageMargins left="0.5511811023622047" right="0.4724409448818898" top="0.2362204724409449" bottom="0.2362204724409449" header="0.1968503937007874" footer="0.1968503937007874"/>
  <pageSetup fitToHeight="1" fitToWidth="1" horizontalDpi="300" verticalDpi="3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tabColor theme="5" tint="-0.24997000396251678"/>
  </sheetPr>
  <dimension ref="A1:H79"/>
  <sheetViews>
    <sheetView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C30" sqref="C30"/>
    </sheetView>
  </sheetViews>
  <sheetFormatPr defaultColWidth="9.00390625" defaultRowHeight="12.75"/>
  <cols>
    <col min="1" max="1" width="43.75390625" style="53" customWidth="1"/>
    <col min="2" max="2" width="38.25390625" style="53" customWidth="1"/>
    <col min="3" max="3" width="37.875" style="53" customWidth="1"/>
    <col min="4" max="4" width="11.25390625" style="53" customWidth="1"/>
    <col min="5" max="5" width="33.875" style="53" bestFit="1" customWidth="1"/>
    <col min="6" max="6" width="12.125" style="53" bestFit="1" customWidth="1"/>
    <col min="7" max="7" width="9.125" style="53" customWidth="1"/>
    <col min="8" max="8" width="16.75390625" style="53" bestFit="1" customWidth="1"/>
    <col min="9" max="16384" width="9.125" style="53" customWidth="1"/>
  </cols>
  <sheetData>
    <row r="1" spans="1:3" ht="15.75">
      <c r="A1" s="64"/>
      <c r="B1" s="64"/>
      <c r="C1" s="65" t="s">
        <v>192</v>
      </c>
    </row>
    <row r="2" spans="1:3" ht="23.25" customHeight="1">
      <c r="A2" s="264" t="s">
        <v>121</v>
      </c>
      <c r="B2" s="264"/>
      <c r="C2" s="264"/>
    </row>
    <row r="3" spans="1:3" ht="15.75">
      <c r="A3" s="135"/>
      <c r="B3" s="135"/>
      <c r="C3" s="135"/>
    </row>
    <row r="4" spans="1:3" s="55" customFormat="1" ht="83.25" customHeight="1">
      <c r="A4" s="59" t="s">
        <v>49</v>
      </c>
      <c r="B4" s="59" t="s">
        <v>144</v>
      </c>
      <c r="C4" s="59" t="s">
        <v>112</v>
      </c>
    </row>
    <row r="5" spans="1:3" s="55" customFormat="1" ht="15.75">
      <c r="A5" s="58" t="s">
        <v>38</v>
      </c>
      <c r="B5" s="58" t="s">
        <v>39</v>
      </c>
      <c r="C5" s="58" t="s">
        <v>40</v>
      </c>
    </row>
    <row r="6" spans="1:7" ht="15.75">
      <c r="A6" s="14" t="s">
        <v>116</v>
      </c>
      <c r="B6" s="92"/>
      <c r="C6" s="92"/>
      <c r="E6" s="55"/>
      <c r="F6" s="55"/>
      <c r="G6" s="55"/>
    </row>
    <row r="7" spans="1:8" ht="15.75">
      <c r="A7" s="92" t="s">
        <v>0</v>
      </c>
      <c r="B7" s="104">
        <f>'Дотации 2022'!C9</f>
        <v>1144793</v>
      </c>
      <c r="C7" s="105">
        <f>1.1-(((B7-$B$25)/($B$7-$B$25))*0.2)</f>
        <v>0.9000000000000001</v>
      </c>
      <c r="E7" s="118"/>
      <c r="F7" s="55"/>
      <c r="G7" s="55"/>
      <c r="H7" s="119"/>
    </row>
    <row r="8" spans="1:8" ht="15.75">
      <c r="A8" s="92" t="s">
        <v>1</v>
      </c>
      <c r="B8" s="104">
        <f>'Дотации 2022'!C10</f>
        <v>693072</v>
      </c>
      <c r="C8" s="105">
        <f aca="true" t="shared" si="0" ref="C8:C16">1.1-(((B8-$B$25)/($B$7-$B$25))*0.2)</f>
        <v>0.9795609818816522</v>
      </c>
      <c r="E8" s="118"/>
      <c r="F8" s="55"/>
      <c r="G8" s="55"/>
      <c r="H8" s="119"/>
    </row>
    <row r="9" spans="1:8" ht="15.75">
      <c r="A9" s="92" t="s">
        <v>2</v>
      </c>
      <c r="B9" s="104">
        <f>'Дотации 2022'!C11</f>
        <v>165896</v>
      </c>
      <c r="C9" s="105">
        <f t="shared" si="0"/>
        <v>1.0724117463677882</v>
      </c>
      <c r="E9" s="118"/>
      <c r="F9" s="55"/>
      <c r="G9" s="55"/>
      <c r="H9" s="119"/>
    </row>
    <row r="10" spans="1:8" ht="15.75">
      <c r="A10" s="92" t="s">
        <v>11</v>
      </c>
      <c r="B10" s="104">
        <f>'Дотации 2022'!C12</f>
        <v>101555</v>
      </c>
      <c r="C10" s="105">
        <f t="shared" si="0"/>
        <v>1.0837440358456902</v>
      </c>
      <c r="E10" s="118"/>
      <c r="F10" s="55"/>
      <c r="G10" s="55"/>
      <c r="H10" s="119"/>
    </row>
    <row r="11" spans="1:8" ht="15.75">
      <c r="A11" s="92" t="s">
        <v>3</v>
      </c>
      <c r="B11" s="104">
        <f>'Дотации 2022'!C13</f>
        <v>70944</v>
      </c>
      <c r="C11" s="105">
        <f t="shared" si="0"/>
        <v>1.0891355080517184</v>
      </c>
      <c r="E11" s="118"/>
      <c r="F11" s="55"/>
      <c r="G11" s="55"/>
      <c r="H11" s="119"/>
    </row>
    <row r="12" spans="1:8" ht="15.75">
      <c r="A12" s="92" t="s">
        <v>4</v>
      </c>
      <c r="B12" s="104">
        <f>'Дотации 2022'!C14</f>
        <v>47055</v>
      </c>
      <c r="C12" s="105">
        <f t="shared" si="0"/>
        <v>1.093343043889483</v>
      </c>
      <c r="E12" s="118"/>
      <c r="F12" s="55"/>
      <c r="G12" s="55"/>
      <c r="H12" s="119"/>
    </row>
    <row r="13" spans="1:8" ht="15.75">
      <c r="A13" s="92" t="s">
        <v>12</v>
      </c>
      <c r="B13" s="104">
        <f>'Дотации 2022'!C15</f>
        <v>54760</v>
      </c>
      <c r="C13" s="105">
        <f>1.1-(((B13-$B$25)/($B$7-$B$25))*0.2)</f>
        <v>1.091985973119255</v>
      </c>
      <c r="E13" s="118"/>
      <c r="F13" s="55"/>
      <c r="G13" s="55"/>
      <c r="H13" s="119"/>
    </row>
    <row r="14" spans="1:8" ht="15.75">
      <c r="A14" s="92" t="s">
        <v>5</v>
      </c>
      <c r="B14" s="104">
        <f>'Дотации 2022'!C16</f>
        <v>25771</v>
      </c>
      <c r="C14" s="105">
        <f t="shared" si="0"/>
        <v>1.0970917647556129</v>
      </c>
      <c r="E14" s="118"/>
      <c r="F14" s="105"/>
      <c r="G14" s="55"/>
      <c r="H14" s="120"/>
    </row>
    <row r="15" spans="1:8" ht="15.75">
      <c r="A15" s="92" t="s">
        <v>6</v>
      </c>
      <c r="B15" s="104">
        <f>'Дотации 2022'!C17</f>
        <v>58125</v>
      </c>
      <c r="C15" s="105">
        <f t="shared" si="0"/>
        <v>1.0913933004207712</v>
      </c>
      <c r="E15" s="118"/>
      <c r="F15" s="55"/>
      <c r="G15" s="55"/>
      <c r="H15" s="119"/>
    </row>
    <row r="16" spans="1:8" ht="15.75">
      <c r="A16" s="92" t="s">
        <v>13</v>
      </c>
      <c r="B16" s="104">
        <f>'Дотации 2022'!C18</f>
        <v>28680</v>
      </c>
      <c r="C16" s="105">
        <f t="shared" si="0"/>
        <v>1.0965794066932386</v>
      </c>
      <c r="E16" s="118"/>
      <c r="F16" s="55"/>
      <c r="G16" s="55"/>
      <c r="H16" s="119"/>
    </row>
    <row r="17" spans="1:8" ht="15.75">
      <c r="A17" s="92" t="s">
        <v>101</v>
      </c>
      <c r="B17" s="13"/>
      <c r="C17" s="105"/>
      <c r="E17" s="55"/>
      <c r="F17" s="55"/>
      <c r="G17" s="55"/>
      <c r="H17" s="119"/>
    </row>
    <row r="18" spans="1:8" ht="15.75">
      <c r="A18" s="92" t="s">
        <v>14</v>
      </c>
      <c r="B18" s="104">
        <f>'Дотации 2022'!C20</f>
        <v>11374</v>
      </c>
      <c r="C18" s="105">
        <f>1.1-(((B18-$B$25)/($B$7-$B$25))*0.2)</f>
        <v>1.0996274880364658</v>
      </c>
      <c r="E18" s="55"/>
      <c r="F18" s="55"/>
      <c r="G18" s="55"/>
      <c r="H18" s="119"/>
    </row>
    <row r="19" spans="1:8" ht="15.75">
      <c r="A19" s="92" t="s">
        <v>15</v>
      </c>
      <c r="B19" s="104">
        <f>'Дотации 2022'!C21</f>
        <v>38322</v>
      </c>
      <c r="C19" s="105">
        <f aca="true" t="shared" si="1" ref="C19:C43">1.1-(((B19-$B$25)/($B$7-$B$25))*0.2)</f>
        <v>1.0948811748481333</v>
      </c>
      <c r="E19" s="55"/>
      <c r="F19" s="55"/>
      <c r="G19" s="55"/>
      <c r="H19" s="119"/>
    </row>
    <row r="20" spans="1:8" ht="15.75">
      <c r="A20" s="92" t="s">
        <v>16</v>
      </c>
      <c r="B20" s="104">
        <f>'Дотации 2022'!C22</f>
        <v>14185</v>
      </c>
      <c r="C20" s="105">
        <f t="shared" si="1"/>
        <v>1.0991323905757115</v>
      </c>
      <c r="E20" s="55"/>
      <c r="F20" s="55"/>
      <c r="G20" s="55"/>
      <c r="H20" s="119"/>
    </row>
    <row r="21" spans="1:8" ht="15.75">
      <c r="A21" s="92" t="s">
        <v>36</v>
      </c>
      <c r="B21" s="104">
        <f>'Дотации 2022'!C23</f>
        <v>17880</v>
      </c>
      <c r="C21" s="105">
        <f t="shared" si="1"/>
        <v>1.0984815954432012</v>
      </c>
      <c r="E21" s="55"/>
      <c r="F21" s="55"/>
      <c r="G21" s="55"/>
      <c r="H21" s="119"/>
    </row>
    <row r="22" spans="1:8" ht="15.75">
      <c r="A22" s="92" t="s">
        <v>37</v>
      </c>
      <c r="B22" s="104">
        <f>'Дотации 2022'!C24</f>
        <v>16905</v>
      </c>
      <c r="C22" s="105">
        <f t="shared" si="1"/>
        <v>1.0986533208164617</v>
      </c>
      <c r="E22" s="55"/>
      <c r="F22" s="55"/>
      <c r="G22" s="55"/>
      <c r="H22" s="119"/>
    </row>
    <row r="23" spans="1:8" ht="15.75">
      <c r="A23" s="92" t="s">
        <v>7</v>
      </c>
      <c r="B23" s="104">
        <f>'Дотации 2022'!C25</f>
        <v>22833</v>
      </c>
      <c r="C23" s="105">
        <f>1.1-(((B23-$B$25)/($B$7-$B$25))*0.2)</f>
        <v>1.097609230547038</v>
      </c>
      <c r="E23" s="55"/>
      <c r="F23" s="55"/>
      <c r="G23" s="55"/>
      <c r="H23" s="119"/>
    </row>
    <row r="24" spans="1:8" ht="15.75">
      <c r="A24" s="92" t="s">
        <v>8</v>
      </c>
      <c r="B24" s="104">
        <f>'Дотации 2022'!C26</f>
        <v>122408</v>
      </c>
      <c r="C24" s="105">
        <f t="shared" si="1"/>
        <v>1.0800712264009709</v>
      </c>
      <c r="E24" s="55"/>
      <c r="F24" s="55"/>
      <c r="G24" s="55"/>
      <c r="H24" s="119"/>
    </row>
    <row r="25" spans="1:8" ht="15.75">
      <c r="A25" s="92" t="s">
        <v>9</v>
      </c>
      <c r="B25" s="104">
        <f>'Дотации 2022'!C27</f>
        <v>9259</v>
      </c>
      <c r="C25" s="105">
        <f>1.1-(((B25-$B$25)/($B$7-$B$25))*0.2)</f>
        <v>1.1</v>
      </c>
      <c r="E25" s="55"/>
      <c r="F25" s="55"/>
      <c r="G25" s="55"/>
      <c r="H25" s="119"/>
    </row>
    <row r="26" spans="1:8" ht="15.75">
      <c r="A26" s="92" t="s">
        <v>17</v>
      </c>
      <c r="B26" s="104">
        <f>'Дотации 2022'!C28</f>
        <v>11767</v>
      </c>
      <c r="C26" s="105">
        <f t="shared" si="1"/>
        <v>1.0995582695013977</v>
      </c>
      <c r="E26" s="55"/>
      <c r="F26" s="55"/>
      <c r="G26" s="55"/>
      <c r="H26" s="119"/>
    </row>
    <row r="27" spans="1:8" ht="15.75">
      <c r="A27" s="92" t="s">
        <v>18</v>
      </c>
      <c r="B27" s="104">
        <f>'Дотации 2022'!C29</f>
        <v>31171</v>
      </c>
      <c r="C27" s="105">
        <f t="shared" si="1"/>
        <v>1.0961406703806316</v>
      </c>
      <c r="E27" s="55"/>
      <c r="F27" s="55"/>
      <c r="G27" s="55"/>
      <c r="H27" s="119"/>
    </row>
    <row r="28" spans="1:8" ht="15.75">
      <c r="A28" s="92" t="s">
        <v>19</v>
      </c>
      <c r="B28" s="104">
        <f>'Дотации 2022'!C30</f>
        <v>42232</v>
      </c>
      <c r="C28" s="105">
        <f t="shared" si="1"/>
        <v>1.0941925120692115</v>
      </c>
      <c r="E28" s="55"/>
      <c r="F28" s="55"/>
      <c r="G28" s="55"/>
      <c r="H28" s="119"/>
    </row>
    <row r="29" spans="1:8" ht="15.75">
      <c r="A29" s="92" t="s">
        <v>20</v>
      </c>
      <c r="B29" s="104">
        <f>'Дотации 2022'!C31</f>
        <v>13649</v>
      </c>
      <c r="C29" s="105">
        <f t="shared" si="1"/>
        <v>1.099226795498858</v>
      </c>
      <c r="E29" s="55"/>
      <c r="F29" s="55"/>
      <c r="G29" s="55"/>
      <c r="H29" s="119"/>
    </row>
    <row r="30" spans="1:8" ht="15.75">
      <c r="A30" s="92" t="s">
        <v>21</v>
      </c>
      <c r="B30" s="104">
        <f>'Дотации 2022'!C32</f>
        <v>21166</v>
      </c>
      <c r="C30" s="105">
        <f t="shared" si="1"/>
        <v>1.0979028369031663</v>
      </c>
      <c r="E30" s="55"/>
      <c r="F30" s="55"/>
      <c r="G30" s="55"/>
      <c r="H30" s="119"/>
    </row>
    <row r="31" spans="1:8" ht="15.75">
      <c r="A31" s="92" t="s">
        <v>22</v>
      </c>
      <c r="B31" s="104">
        <f>'Дотации 2022'!C33</f>
        <v>16257</v>
      </c>
      <c r="C31" s="105">
        <f t="shared" si="1"/>
        <v>1.0987674521414594</v>
      </c>
      <c r="E31" s="55"/>
      <c r="F31" s="55"/>
      <c r="G31" s="55"/>
      <c r="H31" s="119"/>
    </row>
    <row r="32" spans="1:8" ht="15.75">
      <c r="A32" s="92" t="s">
        <v>23</v>
      </c>
      <c r="B32" s="104">
        <f>'Дотации 2022'!C34</f>
        <v>57338</v>
      </c>
      <c r="C32" s="105">
        <f t="shared" si="1"/>
        <v>1.0915319136194954</v>
      </c>
      <c r="E32" s="55"/>
      <c r="F32" s="55"/>
      <c r="G32" s="55"/>
      <c r="H32" s="119"/>
    </row>
    <row r="33" spans="1:8" ht="15.75">
      <c r="A33" s="106" t="s">
        <v>24</v>
      </c>
      <c r="B33" s="104">
        <f>'Дотации 2022'!C35</f>
        <v>10113</v>
      </c>
      <c r="C33" s="105">
        <f t="shared" si="1"/>
        <v>1.0998495861858826</v>
      </c>
      <c r="E33" s="55"/>
      <c r="F33" s="55"/>
      <c r="G33" s="55"/>
      <c r="H33" s="119"/>
    </row>
    <row r="34" spans="1:8" ht="15.75">
      <c r="A34" s="92" t="s">
        <v>25</v>
      </c>
      <c r="B34" s="104">
        <f>'Дотации 2022'!C36</f>
        <v>32813</v>
      </c>
      <c r="C34" s="105">
        <f t="shared" si="1"/>
        <v>1.0958514672392021</v>
      </c>
      <c r="E34" s="55"/>
      <c r="F34" s="55"/>
      <c r="G34" s="55"/>
      <c r="H34" s="119"/>
    </row>
    <row r="35" spans="1:8" ht="15.75">
      <c r="A35" s="92" t="s">
        <v>26</v>
      </c>
      <c r="B35" s="104">
        <f>'Дотации 2022'!C37</f>
        <v>15832</v>
      </c>
      <c r="C35" s="105">
        <f t="shared" si="1"/>
        <v>1.0988423067913422</v>
      </c>
      <c r="E35" s="55"/>
      <c r="F35" s="55"/>
      <c r="G35" s="55"/>
      <c r="H35" s="119"/>
    </row>
    <row r="36" spans="1:8" ht="15.75">
      <c r="A36" s="92" t="s">
        <v>27</v>
      </c>
      <c r="B36" s="104">
        <f>'Дотации 2022'!C38</f>
        <v>26071</v>
      </c>
      <c r="C36" s="105">
        <f t="shared" si="1"/>
        <v>1.097038926179225</v>
      </c>
      <c r="E36" s="55"/>
      <c r="F36" s="55"/>
      <c r="G36" s="55"/>
      <c r="H36" s="119"/>
    </row>
    <row r="37" spans="1:8" ht="15.75">
      <c r="A37" s="92" t="s">
        <v>28</v>
      </c>
      <c r="B37" s="104">
        <f>'Дотации 2022'!C39</f>
        <v>22454</v>
      </c>
      <c r="C37" s="105">
        <f t="shared" si="1"/>
        <v>1.0976759832818745</v>
      </c>
      <c r="E37" s="55"/>
      <c r="F37" s="55"/>
      <c r="G37" s="55"/>
      <c r="H37" s="119"/>
    </row>
    <row r="38" spans="1:8" ht="15.75">
      <c r="A38" s="92" t="s">
        <v>29</v>
      </c>
      <c r="B38" s="104">
        <f>'Дотации 2022'!C40</f>
        <v>44040</v>
      </c>
      <c r="C38" s="105">
        <f t="shared" si="1"/>
        <v>1.0938740715821809</v>
      </c>
      <c r="E38" s="55"/>
      <c r="F38" s="55"/>
      <c r="G38" s="55"/>
      <c r="H38" s="119"/>
    </row>
    <row r="39" spans="1:8" ht="15.75">
      <c r="A39" s="92" t="s">
        <v>30</v>
      </c>
      <c r="B39" s="104">
        <f>'Дотации 2022'!C41</f>
        <v>79059</v>
      </c>
      <c r="C39" s="105">
        <f t="shared" si="1"/>
        <v>1.0877062245604272</v>
      </c>
      <c r="E39" s="55"/>
      <c r="F39" s="55"/>
      <c r="G39" s="55"/>
      <c r="H39" s="119"/>
    </row>
    <row r="40" spans="1:8" ht="15.75">
      <c r="A40" s="92" t="s">
        <v>31</v>
      </c>
      <c r="B40" s="104">
        <f>'Дотации 2022'!C42</f>
        <v>23343</v>
      </c>
      <c r="C40" s="105">
        <f t="shared" si="1"/>
        <v>1.0975194049671786</v>
      </c>
      <c r="E40" s="55"/>
      <c r="F40" s="55"/>
      <c r="G40" s="55"/>
      <c r="H40" s="119"/>
    </row>
    <row r="41" spans="1:8" ht="15.75">
      <c r="A41" s="92" t="s">
        <v>32</v>
      </c>
      <c r="B41" s="104">
        <f>'Дотации 2022'!C43</f>
        <v>15890</v>
      </c>
      <c r="C41" s="105">
        <f t="shared" si="1"/>
        <v>1.0988320913332406</v>
      </c>
      <c r="E41" s="55"/>
      <c r="F41" s="55"/>
      <c r="G41" s="55"/>
      <c r="H41" s="119"/>
    </row>
    <row r="42" spans="1:8" ht="15.75">
      <c r="A42" s="92" t="s">
        <v>33</v>
      </c>
      <c r="B42" s="104">
        <f>'Дотации 2022'!C44</f>
        <v>13891</v>
      </c>
      <c r="C42" s="105">
        <f t="shared" si="1"/>
        <v>1.0991841723805718</v>
      </c>
      <c r="E42" s="55"/>
      <c r="F42" s="55"/>
      <c r="G42" s="55"/>
      <c r="H42" s="119"/>
    </row>
    <row r="43" spans="1:8" ht="15.75">
      <c r="A43" s="92" t="s">
        <v>34</v>
      </c>
      <c r="B43" s="104">
        <f>'Дотации 2022'!C45</f>
        <v>14633</v>
      </c>
      <c r="C43" s="105">
        <f t="shared" si="1"/>
        <v>1.0990534849683058</v>
      </c>
      <c r="E43" s="55"/>
      <c r="F43" s="55"/>
      <c r="G43" s="55"/>
      <c r="H43" s="119"/>
    </row>
    <row r="44" spans="1:8" ht="15.75">
      <c r="A44" s="92" t="s">
        <v>10</v>
      </c>
      <c r="B44" s="104">
        <f>'Дотации 2022'!C46</f>
        <v>18628</v>
      </c>
      <c r="C44" s="105">
        <f>1.1-(((B44-$B$25)/($B$7-$B$25))*0.2)</f>
        <v>1.0983498512594077</v>
      </c>
      <c r="E44" s="55"/>
      <c r="F44" s="55"/>
      <c r="G44" s="55"/>
      <c r="H44" s="119"/>
    </row>
    <row r="45" spans="1:7" s="60" customFormat="1" ht="15.75">
      <c r="A45" s="63" t="s">
        <v>35</v>
      </c>
      <c r="B45" s="62">
        <f>SUM(B7:B44)</f>
        <v>3154164</v>
      </c>
      <c r="C45" s="61"/>
      <c r="E45" s="55"/>
      <c r="F45" s="55"/>
      <c r="G45" s="55"/>
    </row>
    <row r="46" spans="5:7" ht="15.75">
      <c r="E46" s="55"/>
      <c r="F46" s="55"/>
      <c r="G46" s="55"/>
    </row>
    <row r="47" spans="5:7" ht="15.75">
      <c r="E47" s="55"/>
      <c r="F47" s="55"/>
      <c r="G47" s="55"/>
    </row>
    <row r="48" spans="5:7" ht="15.75">
      <c r="E48" s="55"/>
      <c r="F48" s="55"/>
      <c r="G48" s="55"/>
    </row>
    <row r="49" spans="5:7" ht="15.75">
      <c r="E49" s="55"/>
      <c r="F49" s="55"/>
      <c r="G49" s="55"/>
    </row>
    <row r="50" spans="5:7" ht="15.75">
      <c r="E50" s="55"/>
      <c r="F50" s="55"/>
      <c r="G50" s="55"/>
    </row>
    <row r="51" spans="5:7" ht="15.75">
      <c r="E51" s="55"/>
      <c r="F51" s="55"/>
      <c r="G51" s="55"/>
    </row>
    <row r="52" spans="5:7" ht="15.75">
      <c r="E52" s="55"/>
      <c r="F52" s="55"/>
      <c r="G52" s="55"/>
    </row>
    <row r="53" spans="5:7" ht="15.75">
      <c r="E53" s="55"/>
      <c r="F53" s="55"/>
      <c r="G53" s="55"/>
    </row>
    <row r="54" spans="5:7" ht="15.75">
      <c r="E54" s="55"/>
      <c r="F54" s="55"/>
      <c r="G54" s="55"/>
    </row>
    <row r="55" spans="5:7" ht="15.75">
      <c r="E55" s="55"/>
      <c r="F55" s="55"/>
      <c r="G55" s="55"/>
    </row>
    <row r="56" spans="5:7" ht="15.75">
      <c r="E56" s="55"/>
      <c r="F56" s="55"/>
      <c r="G56" s="55"/>
    </row>
    <row r="57" spans="5:7" ht="15.75">
      <c r="E57" s="55"/>
      <c r="F57" s="55"/>
      <c r="G57" s="55"/>
    </row>
    <row r="58" spans="5:7" ht="15.75">
      <c r="E58" s="55"/>
      <c r="F58" s="55"/>
      <c r="G58" s="55"/>
    </row>
    <row r="59" spans="5:7" ht="15.75">
      <c r="E59" s="55"/>
      <c r="F59" s="55"/>
      <c r="G59" s="55"/>
    </row>
    <row r="60" spans="5:7" ht="15.75">
      <c r="E60" s="55"/>
      <c r="F60" s="55"/>
      <c r="G60" s="55"/>
    </row>
    <row r="61" spans="5:7" ht="15.75">
      <c r="E61" s="55"/>
      <c r="F61" s="55"/>
      <c r="G61" s="55"/>
    </row>
    <row r="62" spans="5:7" ht="15.75">
      <c r="E62" s="55"/>
      <c r="F62" s="55"/>
      <c r="G62" s="55"/>
    </row>
    <row r="63" spans="5:7" ht="15.75">
      <c r="E63" s="55"/>
      <c r="F63" s="55"/>
      <c r="G63" s="55"/>
    </row>
    <row r="64" spans="5:7" ht="15.75">
      <c r="E64" s="55"/>
      <c r="F64" s="55"/>
      <c r="G64" s="55"/>
    </row>
    <row r="65" spans="5:7" ht="15.75">
      <c r="E65" s="55"/>
      <c r="F65" s="55"/>
      <c r="G65" s="55"/>
    </row>
    <row r="66" spans="5:7" ht="15.75">
      <c r="E66" s="55"/>
      <c r="F66" s="55"/>
      <c r="G66" s="55"/>
    </row>
    <row r="67" spans="5:7" ht="15.75">
      <c r="E67" s="55"/>
      <c r="F67" s="55"/>
      <c r="G67" s="55"/>
    </row>
    <row r="68" spans="5:7" ht="15.75">
      <c r="E68" s="55"/>
      <c r="F68" s="55"/>
      <c r="G68" s="55"/>
    </row>
    <row r="69" spans="5:7" ht="15.75">
      <c r="E69" s="55"/>
      <c r="F69" s="55"/>
      <c r="G69" s="55"/>
    </row>
    <row r="70" spans="5:7" ht="15.75">
      <c r="E70" s="55"/>
      <c r="F70" s="55"/>
      <c r="G70" s="55"/>
    </row>
    <row r="71" spans="5:7" ht="15.75">
      <c r="E71" s="55"/>
      <c r="F71" s="55"/>
      <c r="G71" s="55"/>
    </row>
    <row r="72" spans="5:7" ht="15.75">
      <c r="E72" s="55"/>
      <c r="F72" s="55"/>
      <c r="G72" s="55"/>
    </row>
    <row r="73" spans="5:7" ht="15.75">
      <c r="E73" s="55"/>
      <c r="F73" s="55"/>
      <c r="G73" s="55"/>
    </row>
    <row r="74" spans="5:7" ht="15.75">
      <c r="E74" s="55"/>
      <c r="F74" s="55"/>
      <c r="G74" s="55"/>
    </row>
    <row r="75" spans="5:7" ht="15.75">
      <c r="E75" s="55"/>
      <c r="F75" s="55"/>
      <c r="G75" s="55"/>
    </row>
    <row r="76" spans="5:7" ht="15.75">
      <c r="E76" s="55"/>
      <c r="F76" s="55"/>
      <c r="G76" s="55"/>
    </row>
    <row r="77" spans="5:7" ht="15.75">
      <c r="E77" s="55"/>
      <c r="F77" s="55"/>
      <c r="G77" s="55"/>
    </row>
    <row r="78" spans="5:7" ht="15.75">
      <c r="E78" s="55"/>
      <c r="F78" s="55"/>
      <c r="G78" s="55"/>
    </row>
    <row r="79" spans="5:7" ht="15.75">
      <c r="E79" s="55"/>
      <c r="F79" s="55"/>
      <c r="G79" s="55"/>
    </row>
  </sheetData>
  <sheetProtection/>
  <mergeCells count="1">
    <mergeCell ref="A2:C2"/>
  </mergeCells>
  <printOptions gridLines="1" horizontalCentered="1"/>
  <pageMargins left="0.22" right="0.3937007874015748" top="0.31496062992125984" bottom="0.5511811023622047" header="0.1968503937007874" footer="0.2362204724409449"/>
  <pageSetup fitToWidth="0" horizontalDpi="300" verticalDpi="300" orientation="portrait" paperSize="9" scale="67" r:id="rId1"/>
  <headerFooter alignWithMargins="0">
    <oddFooter>&amp;R&amp;D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3300"/>
  </sheetPr>
  <dimension ref="A1:K45"/>
  <sheetViews>
    <sheetView view="pageBreakPreview" zoomScale="90" zoomScaleSheetLayoutView="90" zoomScalePageLayoutView="0" workbookViewId="0" topLeftCell="A1">
      <selection activeCell="K1" sqref="K1"/>
    </sheetView>
  </sheetViews>
  <sheetFormatPr defaultColWidth="9.00390625" defaultRowHeight="12.75"/>
  <cols>
    <col min="1" max="1" width="23.625" style="0" customWidth="1"/>
    <col min="2" max="2" width="19.875" style="0" customWidth="1"/>
    <col min="3" max="3" width="11.00390625" style="0" customWidth="1"/>
    <col min="4" max="4" width="18.375" style="0" customWidth="1"/>
    <col min="5" max="5" width="14.625" style="0" customWidth="1"/>
    <col min="6" max="6" width="11.625" style="0" customWidth="1"/>
    <col min="7" max="7" width="11.25390625" style="0" customWidth="1"/>
    <col min="8" max="8" width="14.625" style="0" customWidth="1"/>
    <col min="9" max="9" width="18.125" style="0" customWidth="1"/>
    <col min="10" max="10" width="16.375" style="0" customWidth="1"/>
    <col min="11" max="11" width="19.875" style="0" customWidth="1"/>
  </cols>
  <sheetData>
    <row r="1" spans="1:11" ht="15.75">
      <c r="A1" s="52"/>
      <c r="B1" s="52"/>
      <c r="C1" s="52"/>
      <c r="D1" s="52"/>
      <c r="E1" s="52"/>
      <c r="F1" s="52"/>
      <c r="G1" s="40"/>
      <c r="H1" s="52"/>
      <c r="I1" s="52"/>
      <c r="J1" s="52"/>
      <c r="K1" s="124" t="s">
        <v>193</v>
      </c>
    </row>
    <row r="2" spans="1:11" ht="15.75">
      <c r="A2" s="249" t="s">
        <v>167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8.2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ht="108" customHeight="1">
      <c r="A4" s="50" t="s">
        <v>49</v>
      </c>
      <c r="B4" s="50" t="s">
        <v>97</v>
      </c>
      <c r="C4" s="51" t="s">
        <v>96</v>
      </c>
      <c r="D4" s="50" t="s">
        <v>95</v>
      </c>
      <c r="E4" s="49" t="s">
        <v>94</v>
      </c>
      <c r="F4" s="49" t="s">
        <v>93</v>
      </c>
      <c r="G4" s="50" t="s">
        <v>113</v>
      </c>
      <c r="H4" s="49" t="s">
        <v>92</v>
      </c>
      <c r="I4" s="49" t="s">
        <v>57</v>
      </c>
      <c r="J4" s="49" t="s">
        <v>114</v>
      </c>
      <c r="K4" s="49" t="s">
        <v>126</v>
      </c>
    </row>
    <row r="5" spans="1:11" ht="15.75">
      <c r="A5" s="48" t="s">
        <v>38</v>
      </c>
      <c r="B5" s="48" t="s">
        <v>141</v>
      </c>
      <c r="C5" s="48" t="s">
        <v>40</v>
      </c>
      <c r="D5" s="48" t="s">
        <v>142</v>
      </c>
      <c r="E5" s="48" t="s">
        <v>42</v>
      </c>
      <c r="F5" s="48" t="s">
        <v>46</v>
      </c>
      <c r="G5" s="48" t="s">
        <v>43</v>
      </c>
      <c r="H5" s="48" t="s">
        <v>45</v>
      </c>
      <c r="I5" s="48" t="s">
        <v>51</v>
      </c>
      <c r="J5" s="48" t="s">
        <v>52</v>
      </c>
      <c r="K5" s="48" t="s">
        <v>53</v>
      </c>
    </row>
    <row r="6" spans="1:11" ht="15.75">
      <c r="A6" s="145" t="s">
        <v>116</v>
      </c>
      <c r="B6" s="82"/>
      <c r="C6" s="82"/>
      <c r="D6" s="82"/>
      <c r="E6" s="82"/>
      <c r="F6" s="82"/>
      <c r="G6" s="82"/>
      <c r="H6" s="82"/>
      <c r="I6" s="82"/>
      <c r="J6" s="47"/>
      <c r="K6" s="146"/>
    </row>
    <row r="7" spans="1:11" ht="15.75">
      <c r="A7" s="148" t="s">
        <v>0</v>
      </c>
      <c r="B7" s="149">
        <f>D7-C7</f>
        <v>14886121.788547898</v>
      </c>
      <c r="C7" s="150"/>
      <c r="D7" s="149">
        <f>SUM(E7:K7)</f>
        <v>14886121.788547898</v>
      </c>
      <c r="E7" s="149">
        <f>'Репрез.ставки'!$I$8*'База налогов'!B9</f>
        <v>10180247.861655965</v>
      </c>
      <c r="F7" s="149">
        <f>'Репрез.ставки'!$I$10*'База налогов'!E9</f>
        <v>0</v>
      </c>
      <c r="G7" s="149">
        <f>'Репрез.ставки'!$I$12*'База налогов'!F9</f>
        <v>2598.0247415270137</v>
      </c>
      <c r="H7" s="149">
        <f>'Репрез.ставки'!$I$13*'База налогов'!G9</f>
        <v>1976941.950705702</v>
      </c>
      <c r="I7" s="149">
        <f>'Репрез.ставки'!$I$15*'База налогов'!H9</f>
        <v>62414.03408863176</v>
      </c>
      <c r="J7" s="149">
        <f>'Репрез.ставки'!$I$16*'База налогов'!I9</f>
        <v>1803634.4512477855</v>
      </c>
      <c r="K7" s="151">
        <f>'База налогов'!J9*'Репрез.ставки'!C17/'Репрез.ставки'!B17*7.5*1*1</f>
        <v>860285.4661082868</v>
      </c>
    </row>
    <row r="8" spans="1:11" ht="15.75">
      <c r="A8" s="148" t="s">
        <v>1</v>
      </c>
      <c r="B8" s="149">
        <f aca="true" t="shared" si="0" ref="B8:B16">D8-C8</f>
        <v>6146254.296356862</v>
      </c>
      <c r="C8" s="150"/>
      <c r="D8" s="149">
        <f aca="true" t="shared" si="1" ref="D8:D16">SUM(E8:K8)</f>
        <v>6146254.296356862</v>
      </c>
      <c r="E8" s="149">
        <f>'Репрез.ставки'!$I$8*'База налогов'!B10</f>
        <v>4063853.7654659185</v>
      </c>
      <c r="F8" s="149">
        <f>'Репрез.ставки'!$I$10*'База налогов'!E10</f>
        <v>0</v>
      </c>
      <c r="G8" s="149">
        <f>'Репрез.ставки'!$I$12*'База налогов'!F10</f>
        <v>3618.0957780749923</v>
      </c>
      <c r="H8" s="149">
        <f>'Репрез.ставки'!$I$13*'База налогов'!G10</f>
        <v>821042.7942252534</v>
      </c>
      <c r="I8" s="149">
        <f>'Репрез.ставки'!$I$15*'База налогов'!H10</f>
        <v>34246.76883688026</v>
      </c>
      <c r="J8" s="149">
        <f>'Репрез.ставки'!$I$16*'База налогов'!I10</f>
        <v>908692.5093904012</v>
      </c>
      <c r="K8" s="151">
        <f>'Репрез.ставки'!$I$17*'База налогов'!J10</f>
        <v>314800.3626603334</v>
      </c>
    </row>
    <row r="9" spans="1:11" ht="15.75">
      <c r="A9" s="148" t="s">
        <v>2</v>
      </c>
      <c r="B9" s="149">
        <f t="shared" si="0"/>
        <v>1327310.421644709</v>
      </c>
      <c r="C9" s="150"/>
      <c r="D9" s="149">
        <f t="shared" si="1"/>
        <v>1327310.421644709</v>
      </c>
      <c r="E9" s="149">
        <f>'Репрез.ставки'!$I$8*'База налогов'!B11</f>
        <v>923523.7608129306</v>
      </c>
      <c r="F9" s="149">
        <f>'Репрез.ставки'!$I$10*'База налогов'!E11</f>
        <v>0</v>
      </c>
      <c r="G9" s="149">
        <f>'Репрез.ставки'!$I$12*'База налогов'!F11</f>
        <v>599.4829166307431</v>
      </c>
      <c r="H9" s="149">
        <f>'Репрез.ставки'!$I$13*'База налогов'!G11</f>
        <v>229388.7697307638</v>
      </c>
      <c r="I9" s="149">
        <f>'Репрез.ставки'!$I$15*'База налогов'!H11</f>
        <v>6756.839582384963</v>
      </c>
      <c r="J9" s="149">
        <f>'Репрез.ставки'!$I$16*'База налогов'!I11</f>
        <v>117464.72522408083</v>
      </c>
      <c r="K9" s="151">
        <f>'Репрез.ставки'!$I$17*'База налогов'!J11</f>
        <v>49576.843377918216</v>
      </c>
    </row>
    <row r="10" spans="1:11" ht="15.75">
      <c r="A10" s="148" t="s">
        <v>11</v>
      </c>
      <c r="B10" s="149">
        <f t="shared" si="0"/>
        <v>1016897.3028263843</v>
      </c>
      <c r="C10" s="150"/>
      <c r="D10" s="149">
        <f t="shared" si="1"/>
        <v>1016897.3028263843</v>
      </c>
      <c r="E10" s="149">
        <f>'Репрез.ставки'!$I$8*'База налогов'!B12</f>
        <v>700062.3586647336</v>
      </c>
      <c r="F10" s="149">
        <f>'Репрез.ставки'!$I$10*'База налогов'!E12</f>
        <v>0</v>
      </c>
      <c r="G10" s="149">
        <f>'Репрез.ставки'!$I$12*'База налогов'!F12</f>
        <v>344.2248920338492</v>
      </c>
      <c r="H10" s="149">
        <f>'Репрез.ставки'!$I$13*'База налогов'!G12</f>
        <v>176206.33380505184</v>
      </c>
      <c r="I10" s="149">
        <f>'Репрез.ставки'!$I$15*'База налогов'!H12</f>
        <v>4675.270420085439</v>
      </c>
      <c r="J10" s="149">
        <f>'Репрез.ставки'!$I$16*'База налогов'!I12</f>
        <v>104650.22652634238</v>
      </c>
      <c r="K10" s="151">
        <f>'Репрез.ставки'!$I$17*'База налогов'!J12</f>
        <v>30958.888518137286</v>
      </c>
    </row>
    <row r="11" spans="1:11" ht="15.75">
      <c r="A11" s="148" t="s">
        <v>3</v>
      </c>
      <c r="B11" s="149">
        <f t="shared" si="0"/>
        <v>330742.8253395372</v>
      </c>
      <c r="C11" s="150"/>
      <c r="D11" s="149">
        <f t="shared" si="1"/>
        <v>330742.8253395372</v>
      </c>
      <c r="E11" s="149">
        <f>'Репрез.ставки'!$I$8*'База налогов'!B13</f>
        <v>228469.8479441036</v>
      </c>
      <c r="F11" s="149">
        <f>'Репрез.ставки'!$I$10*'База налогов'!E13</f>
        <v>0</v>
      </c>
      <c r="G11" s="149">
        <f>'Репрез.ставки'!$I$12*'База налогов'!F13</f>
        <v>47.31170141786233</v>
      </c>
      <c r="H11" s="149">
        <f>'Репрез.ставки'!$I$13*'База налогов'!G13</f>
        <v>52392.830117958554</v>
      </c>
      <c r="I11" s="149">
        <f>'Репрез.ставки'!$I$15*'База налогов'!H13</f>
        <v>561.6932660173319</v>
      </c>
      <c r="J11" s="149">
        <f>'Репрез.ставки'!$I$16*'База налогов'!I13</f>
        <v>36600.85877383098</v>
      </c>
      <c r="K11" s="151">
        <f>'Репрез.ставки'!$I$17*'База налогов'!J13</f>
        <v>12670.283536208875</v>
      </c>
    </row>
    <row r="12" spans="1:11" ht="15.75">
      <c r="A12" s="148" t="s">
        <v>4</v>
      </c>
      <c r="B12" s="149">
        <f t="shared" si="0"/>
        <v>383276.1188020004</v>
      </c>
      <c r="C12" s="150"/>
      <c r="D12" s="149">
        <f t="shared" si="1"/>
        <v>383276.1188020004</v>
      </c>
      <c r="E12" s="149">
        <f>'Репрез.ставки'!$I$8*'База налогов'!B14</f>
        <v>287841.1396541465</v>
      </c>
      <c r="F12" s="149">
        <f>'Репрез.ставки'!$I$10*'База налогов'!E14</f>
        <v>0</v>
      </c>
      <c r="G12" s="149">
        <f>'Репрез.ставки'!$I$12*'База налогов'!F14</f>
        <v>386.42923624699745</v>
      </c>
      <c r="H12" s="149">
        <f>'Репрез.ставки'!$I$13*'База налогов'!G14</f>
        <v>52479.33704794552</v>
      </c>
      <c r="I12" s="149">
        <f>'Репрез.ставки'!$I$15*'База налогов'!H14</f>
        <v>1205.9884829195655</v>
      </c>
      <c r="J12" s="149">
        <f>'Репрез.ставки'!$I$16*'База налогов'!I14</f>
        <v>30145.955011529393</v>
      </c>
      <c r="K12" s="151">
        <f>'Репрез.ставки'!$I$17*'База налогов'!J14</f>
        <v>11217.269369212445</v>
      </c>
    </row>
    <row r="13" spans="1:11" ht="15.75">
      <c r="A13" s="148" t="s">
        <v>56</v>
      </c>
      <c r="B13" s="149">
        <f t="shared" si="0"/>
        <v>342981.31570035557</v>
      </c>
      <c r="C13" s="150"/>
      <c r="D13" s="149">
        <f t="shared" si="1"/>
        <v>342981.31570035557</v>
      </c>
      <c r="E13" s="149">
        <f>'Репрез.ставки'!$I$8*'База налогов'!B15</f>
        <v>238077.57036210955</v>
      </c>
      <c r="F13" s="149">
        <f>'Репрез.ставки'!$I$10*'База налогов'!E15</f>
        <v>0</v>
      </c>
      <c r="G13" s="149">
        <f>'Репрез.ставки'!$I$12*'База налогов'!F15</f>
        <v>4.613096830064348</v>
      </c>
      <c r="H13" s="149">
        <f>'Репрез.ставки'!$I$13*'База налогов'!G15</f>
        <v>51030.80611390841</v>
      </c>
      <c r="I13" s="149">
        <f>'Репрез.ставки'!$I$15*'База налогов'!H15</f>
        <v>892.1010695569389</v>
      </c>
      <c r="J13" s="149">
        <f>'Репрез.ставки'!$I$16*'База налогов'!I15</f>
        <v>36818.70752095031</v>
      </c>
      <c r="K13" s="151">
        <f>'Репрез.ставки'!$I$17*'База налогов'!J15</f>
        <v>16157.51753700031</v>
      </c>
    </row>
    <row r="14" spans="1:11" ht="15.75">
      <c r="A14" s="148" t="s">
        <v>5</v>
      </c>
      <c r="B14" s="149">
        <f t="shared" si="0"/>
        <v>104810.1038195885</v>
      </c>
      <c r="C14" s="150"/>
      <c r="D14" s="149">
        <f t="shared" si="1"/>
        <v>104810.1038195885</v>
      </c>
      <c r="E14" s="149">
        <f>'Репрез.ставки'!$I$8*'База налогов'!B16</f>
        <v>65276.49056343249</v>
      </c>
      <c r="F14" s="149">
        <f>'Репрез.ставки'!$I$10*'База налогов'!E16</f>
        <v>0</v>
      </c>
      <c r="G14" s="149">
        <f>'Репрез.ставки'!$I$12*'База налогов'!F16</f>
        <v>0</v>
      </c>
      <c r="H14" s="149">
        <f>'Репрез.ставки'!$I$13*'База налогов'!G16</f>
        <v>28055.853910454487</v>
      </c>
      <c r="I14" s="149">
        <f>'Репрез.ставки'!$I$15*'База налогов'!H16</f>
        <v>214.76507230074455</v>
      </c>
      <c r="J14" s="149">
        <f>'Репрез.ставки'!$I$16*'База налогов'!I16</f>
        <v>8260.098328274831</v>
      </c>
      <c r="K14" s="151">
        <f>'Репрез.ставки'!$I$17*'База налогов'!J16</f>
        <v>3002.895945125957</v>
      </c>
    </row>
    <row r="15" spans="1:11" ht="15.75">
      <c r="A15" s="148" t="s">
        <v>6</v>
      </c>
      <c r="B15" s="149">
        <f t="shared" si="0"/>
        <v>380790.604719469</v>
      </c>
      <c r="C15" s="150"/>
      <c r="D15" s="149">
        <f t="shared" si="1"/>
        <v>380790.604719469</v>
      </c>
      <c r="E15" s="149">
        <f>'Репрез.ставки'!$I$8*'База налогов'!B17</f>
        <v>229074.9769968533</v>
      </c>
      <c r="F15" s="149">
        <f>'Репрез.ставки'!$I$10*'База налогов'!E17</f>
        <v>0</v>
      </c>
      <c r="G15" s="149">
        <f>'Репрез.ставки'!$I$12*'База налогов'!F17</f>
        <v>547.0638580081667</v>
      </c>
      <c r="H15" s="149">
        <f>'Репрез.ставки'!$I$13*'База налогов'!G17</f>
        <v>77705.31000403907</v>
      </c>
      <c r="I15" s="149">
        <f>'Репрез.ставки'!$I$15*'База налогов'!H17</f>
        <v>1338.1516043354084</v>
      </c>
      <c r="J15" s="149">
        <f>'Репрез.ставки'!$I$16*'База налогов'!I17</f>
        <v>53952.73840766436</v>
      </c>
      <c r="K15" s="151">
        <f>'Репрез.ставки'!$I$17*'База налогов'!J17</f>
        <v>18172.363848568693</v>
      </c>
    </row>
    <row r="16" spans="1:11" ht="15.75">
      <c r="A16" s="148" t="s">
        <v>13</v>
      </c>
      <c r="B16" s="149">
        <f t="shared" si="0"/>
        <v>163934.21187113354</v>
      </c>
      <c r="C16" s="150"/>
      <c r="D16" s="149">
        <f t="shared" si="1"/>
        <v>163934.21187113354</v>
      </c>
      <c r="E16" s="149">
        <f>'Репрез.ставки'!$I$8*'База налогов'!B18</f>
        <v>109930.75746980791</v>
      </c>
      <c r="F16" s="149">
        <f>'Репрез.ставки'!$I$10*'База налогов'!E18</f>
        <v>0</v>
      </c>
      <c r="G16" s="149">
        <f>'Репрез.ставки'!$I$12*'База налогов'!F18</f>
        <v>754.8454277289817</v>
      </c>
      <c r="H16" s="149">
        <f>'Репрез.ставки'!$I$13*'База налогов'!G18</f>
        <v>27631.601838922652</v>
      </c>
      <c r="I16" s="149">
        <f>'Репрез.ставки'!$I$15*'База налогов'!H18</f>
        <v>1255.5496534505066</v>
      </c>
      <c r="J16" s="149">
        <f>'Репрез.ставки'!$I$16*'База налогов'!I18</f>
        <v>16883.277901748555</v>
      </c>
      <c r="K16" s="151">
        <f>'Репрез.ставки'!$I$17*'База налогов'!J18</f>
        <v>7478.179579474963</v>
      </c>
    </row>
    <row r="17" spans="1:11" ht="15.75">
      <c r="A17" s="147" t="s">
        <v>101</v>
      </c>
      <c r="B17" s="83"/>
      <c r="C17" s="83"/>
      <c r="D17" s="83"/>
      <c r="E17" s="83"/>
      <c r="F17" s="83"/>
      <c r="G17" s="83"/>
      <c r="H17" s="83"/>
      <c r="I17" s="83"/>
      <c r="J17" s="83"/>
      <c r="K17" s="199"/>
    </row>
    <row r="18" spans="1:11" ht="15.75">
      <c r="A18" s="148" t="s">
        <v>14</v>
      </c>
      <c r="B18" s="149">
        <f aca="true" t="shared" si="2" ref="B18:B44">D18-C18</f>
        <v>54279.206972650005</v>
      </c>
      <c r="C18" s="150"/>
      <c r="D18" s="149">
        <f>SUM(E18:K18)</f>
        <v>54279.206972650005</v>
      </c>
      <c r="E18" s="149">
        <f>'Репрез.ставки'!$I$9*'База налогов'!B20</f>
        <v>36588.720370166586</v>
      </c>
      <c r="F18" s="149">
        <f>'Репрез.ставки'!$I$11*'База налогов'!E20</f>
        <v>0</v>
      </c>
      <c r="G18" s="149">
        <f>'Репрез.ставки'!$I$12*'База налогов'!F20</f>
        <v>1801.990949243886</v>
      </c>
      <c r="H18" s="149">
        <f>'Репрез.ставки'!$I$14*'База налогов'!G20</f>
        <v>7303.75871006461</v>
      </c>
      <c r="I18" s="149">
        <f>'Репрез.ставки'!$I$15*'База налогов'!H20</f>
        <v>99.1223410618821</v>
      </c>
      <c r="J18" s="149">
        <f>'Репрез.ставки'!$I$16*'База налогов'!I20</f>
        <v>3288.1545268324808</v>
      </c>
      <c r="K18" s="151">
        <f>'Репрез.ставки'!$J$18*'База налогов'!J20</f>
        <v>5197.460075280558</v>
      </c>
    </row>
    <row r="19" spans="1:11" ht="15.75">
      <c r="A19" s="148" t="s">
        <v>91</v>
      </c>
      <c r="B19" s="149">
        <f t="shared" si="2"/>
        <v>289528.2136979813</v>
      </c>
      <c r="C19" s="150"/>
      <c r="D19" s="149">
        <f aca="true" t="shared" si="3" ref="D19:D44">SUM(E19:K19)</f>
        <v>289528.2136979813</v>
      </c>
      <c r="E19" s="149">
        <f>'Репрез.ставки'!$I$9*'База налогов'!B21</f>
        <v>194833.6370707976</v>
      </c>
      <c r="F19" s="149">
        <f>'Репрез.ставки'!$I$11*'База налогов'!E21</f>
        <v>0</v>
      </c>
      <c r="G19" s="149">
        <f>'Репрез.ставки'!$I$12*'База налогов'!F21</f>
        <v>2249.296588301911</v>
      </c>
      <c r="H19" s="149">
        <f>'Репрез.ставки'!$I$14*'База налогов'!G21</f>
        <v>51194.15046631173</v>
      </c>
      <c r="I19" s="149">
        <f>'Репрез.ставки'!$I$15*'База налогов'!H21</f>
        <v>1404.2331650433298</v>
      </c>
      <c r="J19" s="149">
        <f>'Репрез.ставки'!$I$16*'База налогов'!I21</f>
        <v>23811.321911699946</v>
      </c>
      <c r="K19" s="151">
        <f>'Репрез.ставки'!$J$18*'База налогов'!J21</f>
        <v>16035.574495826839</v>
      </c>
    </row>
    <row r="20" spans="1:11" ht="15.75">
      <c r="A20" s="148" t="s">
        <v>16</v>
      </c>
      <c r="B20" s="149">
        <f t="shared" si="2"/>
        <v>96997.4076601572</v>
      </c>
      <c r="C20" s="150"/>
      <c r="D20" s="149">
        <f t="shared" si="3"/>
        <v>96997.4076601572</v>
      </c>
      <c r="E20" s="149">
        <f>'Репрез.ставки'!$I$9*'База налогов'!B22</f>
        <v>70672.98228905658</v>
      </c>
      <c r="F20" s="149">
        <f>'Репрез.ставки'!$I$11*'База налогов'!E22</f>
        <v>0</v>
      </c>
      <c r="G20" s="149">
        <f>'Репрез.ставки'!$I$12*'База налогов'!F22</f>
        <v>2949.416408993284</v>
      </c>
      <c r="H20" s="149">
        <f>'Репрез.ставки'!$I$14*'База налогов'!G22</f>
        <v>10802.338425102796</v>
      </c>
      <c r="I20" s="149">
        <f>'Репрез.ставки'!$I$15*'База налогов'!H22</f>
        <v>132.1631214158428</v>
      </c>
      <c r="J20" s="149">
        <f>'Репрез.ставки'!$I$16*'База налогов'!I22</f>
        <v>6719.272293962026</v>
      </c>
      <c r="K20" s="151">
        <f>'Репрез.ставки'!$J$18*'База налогов'!J22</f>
        <v>5721.235121626661</v>
      </c>
    </row>
    <row r="21" spans="1:11" ht="15.75">
      <c r="A21" s="148" t="s">
        <v>90</v>
      </c>
      <c r="B21" s="149">
        <f t="shared" si="2"/>
        <v>125444.41152834594</v>
      </c>
      <c r="C21" s="150"/>
      <c r="D21" s="149">
        <f t="shared" si="3"/>
        <v>125444.41152834594</v>
      </c>
      <c r="E21" s="149">
        <f>'Репрез.ставки'!$I$9*'База налогов'!B23</f>
        <v>67231.68874564515</v>
      </c>
      <c r="F21" s="149">
        <f>'Репрез.ставки'!$I$11*'База налогов'!E23</f>
        <v>0</v>
      </c>
      <c r="G21" s="149">
        <f>'Репрез.ставки'!$I$12*'База налогов'!F23</f>
        <v>27164.934615486185</v>
      </c>
      <c r="H21" s="149">
        <f>'Репрез.ставки'!$I$14*'База налогов'!G23</f>
        <v>12242.826421599253</v>
      </c>
      <c r="I21" s="149">
        <f>'Репрез.ставки'!$I$15*'База налогов'!H23</f>
        <v>247.80585265470523</v>
      </c>
      <c r="J21" s="149">
        <f>'Репрез.ставки'!$I$16*'База налогов'!I23</f>
        <v>11264.595632295677</v>
      </c>
      <c r="K21" s="151">
        <f>'Репрез.ставки'!$J$18*'База налогов'!J23</f>
        <v>7292.560260664969</v>
      </c>
    </row>
    <row r="22" spans="1:11" ht="15.75">
      <c r="A22" s="148" t="s">
        <v>89</v>
      </c>
      <c r="B22" s="149">
        <f t="shared" si="2"/>
        <v>113315.3982564235</v>
      </c>
      <c r="C22" s="150"/>
      <c r="D22" s="149">
        <f t="shared" si="3"/>
        <v>113315.3982564235</v>
      </c>
      <c r="E22" s="149">
        <f>'Репрез.ставки'!$I$9*'База налогов'!B24</f>
        <v>78359.68966628305</v>
      </c>
      <c r="F22" s="149">
        <f>'Репрез.ставки'!$I$11*'База налогов'!E24</f>
        <v>0</v>
      </c>
      <c r="G22" s="149">
        <f>'Репрез.ставки'!$I$12*'База налогов'!F24</f>
        <v>5271.094683271681</v>
      </c>
      <c r="H22" s="149">
        <f>'Репрез.ставки'!$I$14*'База налогов'!G24</f>
        <v>11492.18680507633</v>
      </c>
      <c r="I22" s="149">
        <f>'Репрез.ставки'!$I$15*'База налогов'!H24</f>
        <v>115.64273123886244</v>
      </c>
      <c r="J22" s="149">
        <f>'Репрез.ставки'!$I$16*'База налогов'!I24</f>
        <v>10260.449063542486</v>
      </c>
      <c r="K22" s="151">
        <f>'Репрез.ставки'!$J$18*'База налогов'!J24</f>
        <v>7816.335307011072</v>
      </c>
    </row>
    <row r="23" spans="1:11" ht="15.75">
      <c r="A23" s="148" t="s">
        <v>88</v>
      </c>
      <c r="B23" s="149">
        <f t="shared" si="2"/>
        <v>98505.16156345837</v>
      </c>
      <c r="C23" s="150"/>
      <c r="D23" s="149">
        <f t="shared" si="3"/>
        <v>98505.16156345837</v>
      </c>
      <c r="E23" s="149">
        <f>'Репрез.ставки'!$I$9*'База налогов'!B25</f>
        <v>62588.44344390472</v>
      </c>
      <c r="F23" s="149">
        <f>'Репрез.ставки'!$I$11*'База налогов'!E25</f>
        <v>0</v>
      </c>
      <c r="G23" s="149">
        <f>'Репрез.ставки'!$I$12*'База налогов'!F25</f>
        <v>4867.833135376889</v>
      </c>
      <c r="H23" s="149">
        <f>'Репрез.ставки'!$I$14*'База налогов'!G25</f>
        <v>10360.941185809386</v>
      </c>
      <c r="I23" s="149">
        <f>'Репрез.ставки'!$I$15*'База налогов'!H25</f>
        <v>1255.5496534505066</v>
      </c>
      <c r="J23" s="149">
        <f>'Репрез.ставки'!$I$16*'База налогов'!I25</f>
        <v>8473.408559829182</v>
      </c>
      <c r="K23" s="151">
        <f>'Репрез.ставки'!$J$18*'База налогов'!J25</f>
        <v>10958.985585087688</v>
      </c>
    </row>
    <row r="24" spans="1:11" ht="15.75">
      <c r="A24" s="148" t="s">
        <v>8</v>
      </c>
      <c r="B24" s="149">
        <f>D24-C24</f>
        <v>1061142.993514976</v>
      </c>
      <c r="C24" s="152"/>
      <c r="D24" s="149">
        <f t="shared" si="3"/>
        <v>1061142.993514976</v>
      </c>
      <c r="E24" s="149">
        <f>'Репрез.ставки'!$I$9*'База налогов'!B26</f>
        <v>722736.2125907767</v>
      </c>
      <c r="F24" s="149">
        <f>'Репрез.ставки'!$I$11*'База налогов'!E26</f>
        <v>0</v>
      </c>
      <c r="G24" s="149">
        <f>'Репрез.ставки'!$I$12*'База налогов'!F26</f>
        <v>12514.535391583197</v>
      </c>
      <c r="H24" s="149">
        <f>'Репрез.ставки'!$I$14*'База налогов'!G26</f>
        <v>219895.99911777032</v>
      </c>
      <c r="I24" s="149">
        <f>'Репрез.ставки'!$I$15*'База налогов'!H26</f>
        <v>1536.3962864591724</v>
      </c>
      <c r="J24" s="149">
        <f>'Репрез.ставки'!$I$16*'База налогов'!I26</f>
        <v>43661.65436405821</v>
      </c>
      <c r="K24" s="151">
        <f>'Репрез.ставки'!$J$18*'База налогов'!J26</f>
        <v>60798.19576432839</v>
      </c>
    </row>
    <row r="25" spans="1:11" ht="15.75">
      <c r="A25" s="148" t="s">
        <v>87</v>
      </c>
      <c r="B25" s="149">
        <f t="shared" si="2"/>
        <v>49331.371894706266</v>
      </c>
      <c r="C25" s="152"/>
      <c r="D25" s="149">
        <f t="shared" si="3"/>
        <v>49331.371894706266</v>
      </c>
      <c r="E25" s="149">
        <f>'Репрез.ставки'!$I$9*'База налогов'!B27</f>
        <v>32967.47061733247</v>
      </c>
      <c r="F25" s="149">
        <f>'Репрез.ставки'!$I$11*'База налогов'!E27</f>
        <v>0</v>
      </c>
      <c r="G25" s="149">
        <f>'Репрез.ставки'!$I$12*'База налогов'!F27</f>
        <v>1938.2695180987034</v>
      </c>
      <c r="H25" s="149">
        <f>'Репрез.ставки'!$I$14*'База налогов'!G27</f>
        <v>7363.668914200242</v>
      </c>
      <c r="I25" s="149">
        <f>'Репрез.ставки'!$I$15*'База налогов'!H27</f>
        <v>49.56117053094105</v>
      </c>
      <c r="J25" s="149">
        <f>'Репрез.ставки'!$I$16*'База налогов'!I27</f>
        <v>3507.137902843064</v>
      </c>
      <c r="K25" s="151">
        <f>'Репрез.ставки'!$J$18*'База налогов'!J27</f>
        <v>3505.2637717008415</v>
      </c>
    </row>
    <row r="26" spans="1:11" ht="15.75">
      <c r="A26" s="148" t="s">
        <v>86</v>
      </c>
      <c r="B26" s="149">
        <f t="shared" si="2"/>
        <v>62222.28637239319</v>
      </c>
      <c r="C26" s="152"/>
      <c r="D26" s="149">
        <f t="shared" si="3"/>
        <v>62222.28637239319</v>
      </c>
      <c r="E26" s="149">
        <f>'Репрез.ставки'!$I$9*'База налогов'!B28</f>
        <v>43721.72345708625</v>
      </c>
      <c r="F26" s="149">
        <f>'Репрез.ставки'!$I$11*'База налогов'!E28</f>
        <v>0</v>
      </c>
      <c r="G26" s="149">
        <f>'Репрез.ставки'!$I$12*'База налогов'!F28</f>
        <v>1856.2772137262502</v>
      </c>
      <c r="H26" s="149">
        <f>'Репрез.ставки'!$I$14*'База налогов'!G28</f>
        <v>9083.4441858584</v>
      </c>
      <c r="I26" s="149">
        <f>'Репрез.ставки'!$I$15*'База налогов'!H28</f>
        <v>165.2039017698035</v>
      </c>
      <c r="J26" s="149">
        <f>'Репрез.ставки'!$I$16*'База налогов'!I28</f>
        <v>2802.5333613789608</v>
      </c>
      <c r="K26" s="151">
        <f>'Репрез.ставки'!$J$18*'База налогов'!J28</f>
        <v>4593.1042525735165</v>
      </c>
    </row>
    <row r="27" spans="1:11" ht="15.75">
      <c r="A27" s="148" t="s">
        <v>85</v>
      </c>
      <c r="B27" s="149">
        <f>D27-C27</f>
        <v>254842.37787378096</v>
      </c>
      <c r="C27" s="152"/>
      <c r="D27" s="149">
        <f t="shared" si="3"/>
        <v>254842.37787378096</v>
      </c>
      <c r="E27" s="149">
        <f>'Репрез.ставки'!$I$9*'База налогов'!B29</f>
        <v>175309.55286801953</v>
      </c>
      <c r="F27" s="149">
        <f>'Репрез.ставки'!$I$11*'База налогов'!E29</f>
        <v>0</v>
      </c>
      <c r="G27" s="149">
        <f>'Репрез.ставки'!$I$12*'База налогов'!F29</f>
        <v>9737.56093552327</v>
      </c>
      <c r="H27" s="149">
        <f>'Репрез.ставки'!$I$14*'База налогов'!G29</f>
        <v>46282.39475960363</v>
      </c>
      <c r="I27" s="149">
        <f>'Репрез.ставки'!$I$15*'База налогов'!H29</f>
        <v>429.5301446014891</v>
      </c>
      <c r="J27" s="149">
        <f>'Репрез.ставки'!$I$16*'База налогов'!I29</f>
        <v>11117.093876433626</v>
      </c>
      <c r="K27" s="151">
        <f>'Репрез.ставки'!$J$18*'База налогов'!J29</f>
        <v>11966.245289599425</v>
      </c>
    </row>
    <row r="28" spans="1:11" ht="15.75">
      <c r="A28" s="148" t="s">
        <v>84</v>
      </c>
      <c r="B28" s="149">
        <f t="shared" si="2"/>
        <v>256331.83704854932</v>
      </c>
      <c r="C28" s="152"/>
      <c r="D28" s="149">
        <f t="shared" si="3"/>
        <v>256331.83704854932</v>
      </c>
      <c r="E28" s="149">
        <f>'Репрез.ставки'!$I$9*'База налогов'!B30</f>
        <v>177181.6781553245</v>
      </c>
      <c r="F28" s="149">
        <f>'Репрез.ставки'!$I$11*'База налогов'!E30</f>
        <v>0</v>
      </c>
      <c r="G28" s="149">
        <f>'Репрез.ставки'!$I$12*'База налогов'!F30</f>
        <v>7232.182555333381</v>
      </c>
      <c r="H28" s="149">
        <f>'Репрез.ставки'!$I$14*'База налогов'!G30</f>
        <v>30627.3297995146</v>
      </c>
      <c r="I28" s="149">
        <f>'Репрез.ставки'!$I$15*'База налогов'!H30</f>
        <v>1123.3865320346638</v>
      </c>
      <c r="J28" s="149">
        <f>'Репрез.ставки'!$I$16*'База налогов'!I30</f>
        <v>22681.23153601839</v>
      </c>
      <c r="K28" s="151">
        <f>'Репрез.ставки'!$J$18*'База налогов'!J30</f>
        <v>17486.028470323738</v>
      </c>
    </row>
    <row r="29" spans="1:11" ht="15.75">
      <c r="A29" s="148" t="s">
        <v>83</v>
      </c>
      <c r="B29" s="149">
        <f t="shared" si="2"/>
        <v>69398.4250585812</v>
      </c>
      <c r="C29" s="152"/>
      <c r="D29" s="149">
        <f t="shared" si="3"/>
        <v>69398.4250585812</v>
      </c>
      <c r="E29" s="149">
        <f>'Репрез.ставки'!$I$9*'База налогов'!B31</f>
        <v>52471.05430440385</v>
      </c>
      <c r="F29" s="149">
        <f>'Репрез.ставки'!$I$11*'База налогов'!E31</f>
        <v>0</v>
      </c>
      <c r="G29" s="149">
        <f>'Репрез.ставки'!$I$12*'База налогов'!F31</f>
        <v>2283.9222734370965</v>
      </c>
      <c r="H29" s="149">
        <f>'Репрез.ставки'!$I$14*'База налогов'!G31</f>
        <v>6931.963031458185</v>
      </c>
      <c r="I29" s="149">
        <f>'Репрез.ставки'!$I$15*'База налогов'!H31</f>
        <v>198.2446821237642</v>
      </c>
      <c r="J29" s="149">
        <f>'Репрез.ставки'!$I$16*'База налогов'!I31</f>
        <v>4370.590489081683</v>
      </c>
      <c r="K29" s="151">
        <f>'Репрез.ставки'!$J$18*'База налогов'!J31</f>
        <v>3142.6502780766164</v>
      </c>
    </row>
    <row r="30" spans="1:11" ht="15.75">
      <c r="A30" s="148" t="s">
        <v>82</v>
      </c>
      <c r="B30" s="149">
        <f t="shared" si="2"/>
        <v>142238.02296942883</v>
      </c>
      <c r="C30" s="152"/>
      <c r="D30" s="149">
        <f t="shared" si="3"/>
        <v>142238.02296942883</v>
      </c>
      <c r="E30" s="149">
        <f>'Репрез.ставки'!$I$9*'База налогов'!B32</f>
        <v>107941.39080675715</v>
      </c>
      <c r="F30" s="149">
        <f>'Репрез.ставки'!$I$11*'База налогов'!E32</f>
        <v>0</v>
      </c>
      <c r="G30" s="149">
        <f>'Репрез.ставки'!$I$12*'База налогов'!F32</f>
        <v>7036.482905881782</v>
      </c>
      <c r="H30" s="149">
        <f>'Репрез.ставки'!$I$14*'База налогов'!G32</f>
        <v>15685.901094570605</v>
      </c>
      <c r="I30" s="149">
        <f>'Репрез.ставки'!$I$15*'База налогов'!H32</f>
        <v>809.4991186720371</v>
      </c>
      <c r="J30" s="149">
        <f>'Репрез.ставки'!$I$16*'База налогов'!I32</f>
        <v>4721.190816476865</v>
      </c>
      <c r="K30" s="151">
        <f>'Репрез.ставки'!$J$18*'База налогов'!J32</f>
        <v>6043.558227070416</v>
      </c>
    </row>
    <row r="31" spans="1:11" ht="15.75">
      <c r="A31" s="148" t="s">
        <v>81</v>
      </c>
      <c r="B31" s="149">
        <f t="shared" si="2"/>
        <v>110775.35888967001</v>
      </c>
      <c r="C31" s="152"/>
      <c r="D31" s="149">
        <f t="shared" si="3"/>
        <v>110775.35888967001</v>
      </c>
      <c r="E31" s="149">
        <f>'Репрез.ставки'!$I$9*'База налогов'!B33</f>
        <v>81890.24925192737</v>
      </c>
      <c r="F31" s="149">
        <f>'Репрез.ставки'!$I$11*'База налогов'!E33</f>
        <v>0</v>
      </c>
      <c r="G31" s="149">
        <f>'Репрез.ставки'!$I$12*'База налогов'!F33</f>
        <v>5799.870907417807</v>
      </c>
      <c r="H31" s="149">
        <f>'Репрез.ставки'!$I$14*'База налогов'!G33</f>
        <v>10269.31381477842</v>
      </c>
      <c r="I31" s="149">
        <f>'Репрез.ставки'!$I$15*'База налогов'!H33</f>
        <v>363.4485838935677</v>
      </c>
      <c r="J31" s="149">
        <f>'Репрез.ставки'!$I$16*'База налогов'!I33</f>
        <v>6529.789269123854</v>
      </c>
      <c r="K31" s="151">
        <f>'Репрез.ставки'!$J$18*'База налогов'!J33</f>
        <v>5922.687062529008</v>
      </c>
    </row>
    <row r="32" spans="1:11" ht="15.75">
      <c r="A32" s="148" t="s">
        <v>80</v>
      </c>
      <c r="B32" s="149">
        <f t="shared" si="2"/>
        <v>522477.71370497</v>
      </c>
      <c r="C32" s="152"/>
      <c r="D32" s="149">
        <f t="shared" si="3"/>
        <v>522477.71370497</v>
      </c>
      <c r="E32" s="149">
        <f>'Репрез.ставки'!$I$9*'База налогов'!B34</f>
        <v>315968.6129462564</v>
      </c>
      <c r="F32" s="149">
        <f>'Репрез.ставки'!$I$11*'База налогов'!E34</f>
        <v>0</v>
      </c>
      <c r="G32" s="149">
        <f>'Репрез.ставки'!$I$12*'База налогов'!F34</f>
        <v>2568.8359205129755</v>
      </c>
      <c r="H32" s="149">
        <f>'Репрез.ставки'!$I$14*'База налогов'!G34</f>
        <v>113310.45976599753</v>
      </c>
      <c r="I32" s="149">
        <f>'Репрез.ставки'!$I$15*'База налогов'!H34</f>
        <v>3783.1693505285</v>
      </c>
      <c r="J32" s="149">
        <f>'Репрез.ставки'!$I$16*'База налогов'!I34</f>
        <v>45992.182106678614</v>
      </c>
      <c r="K32" s="151">
        <f>'Репрез.ставки'!$J$18*'База налогов'!J34</f>
        <v>40854.45361499601</v>
      </c>
    </row>
    <row r="33" spans="1:11" ht="15.75">
      <c r="A33" s="148" t="s">
        <v>79</v>
      </c>
      <c r="B33" s="149">
        <f t="shared" si="2"/>
        <v>41033.809825829194</v>
      </c>
      <c r="C33" s="152"/>
      <c r="D33" s="149">
        <f t="shared" si="3"/>
        <v>41033.809825829194</v>
      </c>
      <c r="E33" s="149">
        <f>'Репрез.ставки'!$I$9*'База налогов'!B35</f>
        <v>28968.08811113373</v>
      </c>
      <c r="F33" s="149">
        <f>'Репрез.ставки'!$I$11*'База налогов'!E35</f>
        <v>0</v>
      </c>
      <c r="G33" s="149">
        <f>'Репрез.ставки'!$I$12*'База налогов'!F35</f>
        <v>134.65849318235453</v>
      </c>
      <c r="H33" s="149">
        <f>'Репрез.ставки'!$I$14*'База налогов'!G35</f>
        <v>6031.547904596178</v>
      </c>
      <c r="I33" s="149">
        <f>'Репрез.ставки'!$I$15*'База налогов'!H35</f>
        <v>66.0815607079214</v>
      </c>
      <c r="J33" s="149">
        <f>'Репрез.ставки'!$I$16*'База налогов'!I35</f>
        <v>2650.493089951924</v>
      </c>
      <c r="K33" s="151">
        <f>'Репрез.ставки'!$J$18*'База налогов'!J35</f>
        <v>3182.940666257086</v>
      </c>
    </row>
    <row r="34" spans="1:11" ht="15.75">
      <c r="A34" s="148" t="s">
        <v>78</v>
      </c>
      <c r="B34" s="149">
        <f t="shared" si="2"/>
        <v>233094.2675648666</v>
      </c>
      <c r="C34" s="152"/>
      <c r="D34" s="149">
        <f t="shared" si="3"/>
        <v>233094.2675648666</v>
      </c>
      <c r="E34" s="149">
        <f>'Репрез.ставки'!$I$9*'База налогов'!B36</f>
        <v>174387.95062471004</v>
      </c>
      <c r="F34" s="149">
        <f>'Репрез.ставки'!$I$11*'База налогов'!E36</f>
        <v>0</v>
      </c>
      <c r="G34" s="149">
        <f>'Репрез.ставки'!$I$12*'База налогов'!F36</f>
        <v>7998.72547859574</v>
      </c>
      <c r="H34" s="149">
        <f>'Репрез.ставки'!$I$14*'База налогов'!G36</f>
        <v>20614.39641714014</v>
      </c>
      <c r="I34" s="149">
        <f>'Репрез.ставки'!$I$15*'База налогов'!H36</f>
        <v>413.00975442450874</v>
      </c>
      <c r="J34" s="149">
        <f>'Репрез.ставки'!$I$16*'База налогов'!I36</f>
        <v>19365.84591579599</v>
      </c>
      <c r="K34" s="151">
        <f>'Репрез.ставки'!$J$18*'База налогов'!J36</f>
        <v>10314.339374200177</v>
      </c>
    </row>
    <row r="35" spans="1:11" ht="15.75">
      <c r="A35" s="148" t="s">
        <v>77</v>
      </c>
      <c r="B35" s="149">
        <f t="shared" si="2"/>
        <v>150484.54344241405</v>
      </c>
      <c r="C35" s="152"/>
      <c r="D35" s="149">
        <f t="shared" si="3"/>
        <v>150484.54344241405</v>
      </c>
      <c r="E35" s="149">
        <f>'Репрез.ставки'!$I$9*'База налогов'!B37</f>
        <v>113434.8431106817</v>
      </c>
      <c r="F35" s="149">
        <f>'Репрез.ставки'!$I$11*'База налогов'!E37</f>
        <v>0</v>
      </c>
      <c r="G35" s="149">
        <f>'Репрез.ставки'!$I$12*'База налогов'!F37</f>
        <v>10185.168622588026</v>
      </c>
      <c r="H35" s="149">
        <f>'Репрез.ставки'!$I$14*'База налогов'!G37</f>
        <v>13213.724141562005</v>
      </c>
      <c r="I35" s="149">
        <f>'Репрез.ставки'!$I$15*'База налогов'!H37</f>
        <v>99.1223410618821</v>
      </c>
      <c r="J35" s="149">
        <f>'Репрез.ставки'!$I$16*'База налогов'!I37</f>
        <v>6460.576906757815</v>
      </c>
      <c r="K35" s="151">
        <f>'Репрез.ставки'!$J$18*'База налогов'!J37</f>
        <v>7091.108319762622</v>
      </c>
    </row>
    <row r="36" spans="1:11" ht="15.75">
      <c r="A36" s="148" t="s">
        <v>76</v>
      </c>
      <c r="B36" s="149">
        <f t="shared" si="2"/>
        <v>97792.92977258087</v>
      </c>
      <c r="C36" s="152"/>
      <c r="D36" s="149">
        <f t="shared" si="3"/>
        <v>97792.92977258087</v>
      </c>
      <c r="E36" s="149">
        <f>'Репрез.ставки'!$I$9*'База налогов'!B38</f>
        <v>64877.864045044174</v>
      </c>
      <c r="F36" s="149">
        <f>'Репрез.ставки'!$I$11*'База налогов'!E38</f>
        <v>0</v>
      </c>
      <c r="G36" s="149">
        <f>'Репрез.ставки'!$I$12*'База налогов'!F38</f>
        <v>3491.784793442278</v>
      </c>
      <c r="H36" s="149">
        <f>'Репрез.ставки'!$I$14*'База налогов'!G38</f>
        <v>16358.128826268952</v>
      </c>
      <c r="I36" s="149">
        <f>'Репрез.ставки'!$I$15*'База налогов'!H38</f>
        <v>726.8971677871353</v>
      </c>
      <c r="J36" s="149">
        <f>'Репрез.ставки'!$I$16*'База налогов'!I38</f>
        <v>5045.694679373376</v>
      </c>
      <c r="K36" s="151">
        <f>'Репрез.ставки'!$J$18*'База налогов'!J38</f>
        <v>7292.560260664969</v>
      </c>
    </row>
    <row r="37" spans="1:11" ht="15.75">
      <c r="A37" s="148" t="s">
        <v>75</v>
      </c>
      <c r="B37" s="149">
        <f t="shared" si="2"/>
        <v>114528.6893219765</v>
      </c>
      <c r="C37" s="152"/>
      <c r="D37" s="149">
        <f t="shared" si="3"/>
        <v>114528.6893219765</v>
      </c>
      <c r="E37" s="149">
        <f>'Репрез.ставки'!$I$9*'База налогов'!B39</f>
        <v>76659.68266973554</v>
      </c>
      <c r="F37" s="149">
        <f>'Репрез.ставки'!$I$11*'База налогов'!E39</f>
        <v>0</v>
      </c>
      <c r="G37" s="149">
        <f>'Репрез.ставки'!$I$12*'База налогов'!F39</f>
        <v>6274.113736894244</v>
      </c>
      <c r="H37" s="149">
        <f>'Репрез.ставки'!$I$14*'База налогов'!G39</f>
        <v>14429.54887254984</v>
      </c>
      <c r="I37" s="149">
        <f>'Репрез.ставки'!$I$15*'База налогов'!H39</f>
        <v>578.2136561943122</v>
      </c>
      <c r="J37" s="149">
        <f>'Репрез.ставки'!$I$16*'База налогов'!I39</f>
        <v>10422.700994990742</v>
      </c>
      <c r="K37" s="151">
        <f>'Репрез.ставки'!$J$18*'База налогов'!J39</f>
        <v>6164.429391611825</v>
      </c>
    </row>
    <row r="38" spans="1:11" ht="15.75">
      <c r="A38" s="148" t="s">
        <v>74</v>
      </c>
      <c r="B38" s="149">
        <f t="shared" si="2"/>
        <v>362149.69652729004</v>
      </c>
      <c r="C38" s="152"/>
      <c r="D38" s="149">
        <f t="shared" si="3"/>
        <v>362149.69652729004</v>
      </c>
      <c r="E38" s="149">
        <f>'Репрез.ставки'!$I$9*'База налогов'!B40</f>
        <v>285974.5994853354</v>
      </c>
      <c r="F38" s="149">
        <f>'Репрез.ставки'!$I$11*'База налогов'!E40</f>
        <v>0</v>
      </c>
      <c r="G38" s="149">
        <f>'Репрез.ставки'!$I$12*'База налогов'!F40</f>
        <v>1587.8663713817325</v>
      </c>
      <c r="H38" s="149">
        <f>'Репрез.ставки'!$I$14*'База налогов'!G40</f>
        <v>33149.72560010748</v>
      </c>
      <c r="I38" s="149">
        <f>'Репрез.ставки'!$I$15*'База налогов'!H40</f>
        <v>3651.0062291126574</v>
      </c>
      <c r="J38" s="149">
        <f>'Репрез.ставки'!$I$16*'База налогов'!I40</f>
        <v>21428.601240082207</v>
      </c>
      <c r="K38" s="151">
        <f>'Репрез.ставки'!$J$18*'База налогов'!J40</f>
        <v>16357.897601270593</v>
      </c>
    </row>
    <row r="39" spans="1:11" ht="15.75">
      <c r="A39" s="148" t="s">
        <v>50</v>
      </c>
      <c r="B39" s="149">
        <f t="shared" si="2"/>
        <v>716087.4348687978</v>
      </c>
      <c r="C39" s="152"/>
      <c r="D39" s="149">
        <f t="shared" si="3"/>
        <v>716087.4348687978</v>
      </c>
      <c r="E39" s="149">
        <f>'Репрез.ставки'!$I$9*'База налогов'!B41</f>
        <v>401915.6731433431</v>
      </c>
      <c r="F39" s="149">
        <f>'Репрез.ставки'!$I$11*'База налогов'!E41</f>
        <v>0</v>
      </c>
      <c r="G39" s="149">
        <f>'Репрез.ставки'!$I$12*'База налогов'!F41</f>
        <v>9505.69790199313</v>
      </c>
      <c r="H39" s="149">
        <f>'Репрез.ставки'!$I$14*'База налогов'!G41</f>
        <v>162124.94168274538</v>
      </c>
      <c r="I39" s="149">
        <f>'Репрез.ставки'!$I$15*'База налогов'!H41</f>
        <v>3122.353743449286</v>
      </c>
      <c r="J39" s="149">
        <f>'Репрез.ставки'!$I$16*'База налогов'!I41</f>
        <v>64639.80793431554</v>
      </c>
      <c r="K39" s="151">
        <f>'Репрез.ставки'!$J$18*'База налогов'!J41</f>
        <v>74778.96046295129</v>
      </c>
    </row>
    <row r="40" spans="1:11" ht="15.75">
      <c r="A40" s="148" t="s">
        <v>73</v>
      </c>
      <c r="B40" s="149">
        <f t="shared" si="2"/>
        <v>150554.49478068232</v>
      </c>
      <c r="C40" s="152"/>
      <c r="D40" s="149">
        <f t="shared" si="3"/>
        <v>150554.49478068232</v>
      </c>
      <c r="E40" s="149">
        <f>'Репрез.ставки'!$I$9*'База налогов'!B42</f>
        <v>91637.4060494965</v>
      </c>
      <c r="F40" s="149">
        <f>'Репрез.ставки'!$I$11*'База налогов'!E42</f>
        <v>0</v>
      </c>
      <c r="G40" s="149">
        <f>'Репрез.ставки'!$I$12*'База налогов'!F42</f>
        <v>6802.560454123936</v>
      </c>
      <c r="H40" s="149">
        <f>'Репрез.ставки'!$I$14*'База налогов'!G42</f>
        <v>28271.449125122228</v>
      </c>
      <c r="I40" s="149">
        <f>'Репрез.ставки'!$I$15*'База налогов'!H42</f>
        <v>495.61170530941047</v>
      </c>
      <c r="J40" s="149">
        <f>'Репрез.ставки'!$I$16*'База налогов'!I42</f>
        <v>14322.42049420511</v>
      </c>
      <c r="K40" s="151">
        <f>'Репрез.ставки'!$J$18*'База налогов'!J42</f>
        <v>9025.046952425155</v>
      </c>
    </row>
    <row r="41" spans="1:11" ht="15.75">
      <c r="A41" s="148" t="s">
        <v>72</v>
      </c>
      <c r="B41" s="149">
        <f t="shared" si="2"/>
        <v>75426.28380724251</v>
      </c>
      <c r="C41" s="152"/>
      <c r="D41" s="149">
        <f t="shared" si="3"/>
        <v>75426.28380724251</v>
      </c>
      <c r="E41" s="149">
        <f>'Репрез.ставки'!$I$9*'База налогов'!B43</f>
        <v>50110.359802262865</v>
      </c>
      <c r="F41" s="149">
        <f>'Репрез.ставки'!$I$11*'База налогов'!E43</f>
        <v>0</v>
      </c>
      <c r="G41" s="149">
        <f>'Репрез.ставки'!$I$12*'База налогов'!F43</f>
        <v>5377.800006376622</v>
      </c>
      <c r="H41" s="149">
        <f>'Репрез.ставки'!$I$14*'База налогов'!G43</f>
        <v>10327.461954086533</v>
      </c>
      <c r="I41" s="149">
        <f>'Репрез.ставки'!$I$15*'База налогов'!H43</f>
        <v>66.0815607079214</v>
      </c>
      <c r="J41" s="149">
        <f>'Репрез.ставки'!$I$16*'База налогов'!I43</f>
        <v>5112.637783956921</v>
      </c>
      <c r="K41" s="151">
        <f>'Репрез.ставки'!$J$18*'База налогов'!J43</f>
        <v>4431.942699851638</v>
      </c>
    </row>
    <row r="42" spans="1:11" ht="15.75">
      <c r="A42" s="148" t="s">
        <v>71</v>
      </c>
      <c r="B42" s="149">
        <f t="shared" si="2"/>
        <v>62813.97248567866</v>
      </c>
      <c r="C42" s="152"/>
      <c r="D42" s="149">
        <f t="shared" si="3"/>
        <v>62813.97248567866</v>
      </c>
      <c r="E42" s="149">
        <f>'Репрез.ставки'!$I$9*'База налогов'!B44</f>
        <v>44628.67564397154</v>
      </c>
      <c r="F42" s="149">
        <f>'Репрез.ставки'!$I$11*'База налогов'!E44</f>
        <v>0</v>
      </c>
      <c r="G42" s="149">
        <f>'Репрез.ставки'!$I$12*'База налогов'!F44</f>
        <v>788.7297223021924</v>
      </c>
      <c r="H42" s="149">
        <f>'Репрез.ставки'!$I$14*'База налогов'!G44</f>
        <v>7052.6644721432085</v>
      </c>
      <c r="I42" s="149">
        <f>'Репрез.ставки'!$I$15*'База налогов'!H44</f>
        <v>479.0913151324301</v>
      </c>
      <c r="J42" s="149">
        <f>'Репрез.ставки'!$I$16*'База налогов'!I44</f>
        <v>4465.899315946393</v>
      </c>
      <c r="K42" s="151">
        <f>'Репрез.ставки'!$J$18*'База налогов'!J44</f>
        <v>5398.912016182905</v>
      </c>
    </row>
    <row r="43" spans="1:11" ht="15.75">
      <c r="A43" s="148" t="s">
        <v>70</v>
      </c>
      <c r="B43" s="149">
        <f t="shared" si="2"/>
        <v>67464.87898185979</v>
      </c>
      <c r="C43" s="152"/>
      <c r="D43" s="149">
        <f t="shared" si="3"/>
        <v>67464.87898185979</v>
      </c>
      <c r="E43" s="149">
        <f>'Репрез.ставки'!$I$9*'База налогов'!B45</f>
        <v>48414.928696596195</v>
      </c>
      <c r="F43" s="149">
        <f>'Репрез.ставки'!$I$11*'База налогов'!E45</f>
        <v>0</v>
      </c>
      <c r="G43" s="149">
        <f>'Репрез.ставки'!$I$12*'База налогов'!F45</f>
        <v>228.65034109491563</v>
      </c>
      <c r="H43" s="149">
        <f>'Репрез.ставки'!$I$14*'База налогов'!G45</f>
        <v>9294.010932746873</v>
      </c>
      <c r="I43" s="149">
        <f>'Репрез.ставки'!$I$15*'База налогов'!H45</f>
        <v>313.88741336262666</v>
      </c>
      <c r="J43" s="149">
        <f>'Репрез.ставки'!$I$16*'База налогов'!I45</f>
        <v>4297.974240041904</v>
      </c>
      <c r="K43" s="151">
        <f>'Репрез.ставки'!$J$18*'База налогов'!J45</f>
        <v>4915.427358017272</v>
      </c>
    </row>
    <row r="44" spans="1:11" ht="15.75">
      <c r="A44" s="153" t="s">
        <v>69</v>
      </c>
      <c r="B44" s="154">
        <f t="shared" si="2"/>
        <v>119572.4796700305</v>
      </c>
      <c r="C44" s="155"/>
      <c r="D44" s="154">
        <f t="shared" si="3"/>
        <v>119572.4796700305</v>
      </c>
      <c r="E44" s="149">
        <f>'Репрез.ставки'!$I$9*'База налогов'!B46</f>
        <v>76935.79929395113</v>
      </c>
      <c r="F44" s="149">
        <f>'Репрез.ставки'!$I$11*'База налогов'!E46</f>
        <v>0</v>
      </c>
      <c r="G44" s="149">
        <f>'Репрез.ставки'!$I$12*'База налогов'!F46</f>
        <v>1365.586497337858</v>
      </c>
      <c r="H44" s="149">
        <f>'Репрез.ставки'!$I$14*'База налогов'!G46</f>
        <v>24051.303863215173</v>
      </c>
      <c r="I44" s="149">
        <f>'Репрез.ставки'!$I$15*'База налогов'!H46</f>
        <v>66.0815607079214</v>
      </c>
      <c r="J44" s="149">
        <f>'Репрез.ставки'!$I$16*'База налогов'!I46</f>
        <v>9538.825088709686</v>
      </c>
      <c r="K44" s="151">
        <f>'Репрез.ставки'!$J$18*'База налогов'!J46</f>
        <v>7614.883366108725</v>
      </c>
    </row>
    <row r="45" spans="1:11" ht="15.75">
      <c r="A45" s="7" t="s">
        <v>35</v>
      </c>
      <c r="B45" s="44">
        <f aca="true" t="shared" si="4" ref="B45:I45">SUM(B7:B44)</f>
        <v>30580952.657683264</v>
      </c>
      <c r="C45" s="45">
        <f t="shared" si="4"/>
        <v>0</v>
      </c>
      <c r="D45" s="44">
        <f t="shared" si="4"/>
        <v>30580952.657683264</v>
      </c>
      <c r="E45" s="44">
        <f t="shared" si="4"/>
        <v>20704767.506849997</v>
      </c>
      <c r="F45" s="44">
        <f t="shared" si="4"/>
        <v>0</v>
      </c>
      <c r="G45" s="44">
        <f t="shared" si="4"/>
        <v>157913.93807</v>
      </c>
      <c r="H45" s="44">
        <f t="shared" si="4"/>
        <v>4400641.167790001</v>
      </c>
      <c r="I45" s="44">
        <f t="shared" si="4"/>
        <v>135351.55672</v>
      </c>
      <c r="J45" s="44">
        <f>SUM(J7:J44)</f>
        <v>3494055.63172699</v>
      </c>
      <c r="K45" s="44">
        <f>SUM(K7:K44)</f>
        <v>1688222.8565262672</v>
      </c>
    </row>
  </sheetData>
  <sheetProtection/>
  <mergeCells count="1">
    <mergeCell ref="A2:K2"/>
  </mergeCells>
  <printOptions horizontalCentered="1" verticalCentered="1"/>
  <pageMargins left="0.2755905511811024" right="0.2362204724409449" top="0.3937007874015748" bottom="0.2362204724409449" header="0.15748031496062992" footer="0.2362204724409449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Закон о бюджете на 1997 год</dc:title>
  <dc:subject/>
  <dc:creator>Tenjaew Dmitrj Alexandrowitch</dc:creator>
  <cp:keywords/>
  <dc:description/>
  <cp:lastModifiedBy>Демидов</cp:lastModifiedBy>
  <cp:lastPrinted>2021-10-18T14:20:07Z</cp:lastPrinted>
  <dcterms:created xsi:type="dcterms:W3CDTF">1998-09-07T09:31:30Z</dcterms:created>
  <dcterms:modified xsi:type="dcterms:W3CDTF">2021-10-18T14:20:10Z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Path">
    <vt:lpwstr>N:\КОЗЛОВА\Дотации\Расчёт дотаций 2010.xls</vt:lpwstr>
  </property>
</Properties>
</file>