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795" yWindow="4245" windowWidth="21735" windowHeight="10155" tabRatio="596" activeTab="1"/>
  </bookViews>
  <sheets>
    <sheet name="Дотации 2023" sheetId="1" r:id="rId1"/>
    <sheet name="Дотации 2024-2025" sheetId="2" r:id="rId2"/>
    <sheet name="База налогов" sheetId="3" r:id="rId3"/>
    <sheet name="Репрез.ставки" sheetId="4" r:id="rId4"/>
    <sheet name="Налог.потенц. 2023-2025" sheetId="5" r:id="rId5"/>
    <sheet name="Свод индексов" sheetId="6" r:id="rId6"/>
    <sheet name="образование" sheetId="7" r:id="rId7"/>
    <sheet name="коэффициент масштаба" sheetId="8" r:id="rId8"/>
  </sheets>
  <definedNames>
    <definedName name="wrn.Проект._.бюджета._.1997г.." localSheetId="7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localSheetId="6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localSheetId="5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7" hidden="1">{#N/A,#N/A,TRUE,"Дох_к";#N/A,#N/A,TRUE,"Расх_к";#N/A,#N/A,TRUE,"Дох_о";#N/A,#N/A,TRUE,"Расх_о";#N/A,#N/A,TRUE,"Ст8_9";#N/A,#N/A,TRUE,"Ст_10";#N/A,#N/A,TRUE,"Ст11_15"}</definedName>
    <definedName name="ввв" localSheetId="6" hidden="1">{#N/A,#N/A,TRUE,"Дох_к";#N/A,#N/A,TRUE,"Расх_к";#N/A,#N/A,TRUE,"Дох_о";#N/A,#N/A,TRUE,"Расх_о";#N/A,#N/A,TRUE,"Ст8_9";#N/A,#N/A,TRUE,"Ст_10";#N/A,#N/A,TRUE,"Ст11_15"}</definedName>
    <definedName name="ввв" localSheetId="5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2">'База налогов'!$A:$A</definedName>
    <definedName name="_xlnm.Print_Titles" localSheetId="1">'Дотации 2024-2025'!$4:$6</definedName>
    <definedName name="_xlnm.Print_Titles" localSheetId="4">'Налог.потенц. 2023-2025'!$A:$A</definedName>
    <definedName name="_xlnm.Print_Titles" localSheetId="3">'Репрез.ставки'!$4:$7</definedName>
    <definedName name="_xlnm.Print_Titles" localSheetId="5">'Свод индексов'!$4:$8</definedName>
    <definedName name="_xlnm.Print_Area" localSheetId="2">'База налогов'!$A$1:$I$47</definedName>
    <definedName name="_xlnm.Print_Area" localSheetId="0">'Дотации 2023'!$A$1:$J$48</definedName>
    <definedName name="_xlnm.Print_Area" localSheetId="1">'Дотации 2024-2025'!$A$1:$J$49</definedName>
    <definedName name="_xlnm.Print_Area" localSheetId="7">'коэффициент масштаба'!$A$1:$C$45</definedName>
    <definedName name="_xlnm.Print_Area" localSheetId="4">'Налог.потенц. 2023-2025'!$A$1:$K$46</definedName>
    <definedName name="_xlnm.Print_Area" localSheetId="6">'образование'!$A$1:$H$46</definedName>
    <definedName name="_xlnm.Print_Area" localSheetId="3">'Репрез.ставки'!$A$1:$J$16</definedName>
    <definedName name="_xlnm.Print_Area" localSheetId="5">'Свод индексов'!$A$1:$E$52</definedName>
  </definedNames>
  <calcPr fullCalcOnLoad="1"/>
</workbook>
</file>

<file path=xl/sharedStrings.xml><?xml version="1.0" encoding="utf-8"?>
<sst xmlns="http://schemas.openxmlformats.org/spreadsheetml/2006/main" count="454" uniqueCount="182">
  <si>
    <t>Самара</t>
  </si>
  <si>
    <t>Тольятти</t>
  </si>
  <si>
    <t>Сызрань</t>
  </si>
  <si>
    <t>Чапаевск</t>
  </si>
  <si>
    <t>Отрадный</t>
  </si>
  <si>
    <t>Октябрьск</t>
  </si>
  <si>
    <t>Кинель</t>
  </si>
  <si>
    <t>Борский</t>
  </si>
  <si>
    <t>Волжский</t>
  </si>
  <si>
    <t>Елховский</t>
  </si>
  <si>
    <t>Шигонский</t>
  </si>
  <si>
    <t>Новокуйбышевск</t>
  </si>
  <si>
    <t>Жигулёвск</t>
  </si>
  <si>
    <t>Похвистнево</t>
  </si>
  <si>
    <t>Алексеевский</t>
  </si>
  <si>
    <t>Безенчукский</t>
  </si>
  <si>
    <t>Богатовский</t>
  </si>
  <si>
    <t>Исаклинский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</si>
  <si>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</si>
  <si>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</si>
  <si>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</si>
  <si>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</si>
  <si>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</si>
  <si>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Красноярский</t>
  </si>
  <si>
    <t>Камышлинский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</si>
  <si>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</si>
  <si>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</si>
  <si>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</si>
  <si>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</si>
  <si>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</si>
  <si>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</si>
  <si>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</si>
  <si>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Хворостянский</t>
  </si>
  <si>
    <t>Челно-Вершинский</t>
  </si>
  <si>
    <t>Шенталинский</t>
  </si>
  <si>
    <t>ИТОГО</t>
  </si>
  <si>
    <t>Большеглушицкий</t>
  </si>
  <si>
    <t>Большечерниговский</t>
  </si>
  <si>
    <t>(1)</t>
  </si>
  <si>
    <t>(2)</t>
  </si>
  <si>
    <t>(3)</t>
  </si>
  <si>
    <t>(4)</t>
  </si>
  <si>
    <t>(5)</t>
  </si>
  <si>
    <t>(7)</t>
  </si>
  <si>
    <t>Наименование городского округа (муниципального района)</t>
  </si>
  <si>
    <t>(8)</t>
  </si>
  <si>
    <t>Таблица 1</t>
  </si>
  <si>
    <t>(6)</t>
  </si>
  <si>
    <t>Индекс бюджет-ных расходов (ИБР)</t>
  </si>
  <si>
    <t>Наименование муниципального образования</t>
  </si>
  <si>
    <t xml:space="preserve">Ставропольский </t>
  </si>
  <si>
    <t>(9)</t>
  </si>
  <si>
    <t>(10)</t>
  </si>
  <si>
    <t>(11)</t>
  </si>
  <si>
    <t>Итоговый размер дотаций на выравнивание бюджетной обеспеченности МР (ГО) с учётом [7], тыс. рублей</t>
  </si>
  <si>
    <t>Численность жителей поселений, из бюджетов кот. предоставляются субсидии в обл. бюджет, чел.</t>
  </si>
  <si>
    <t>Жигулевск</t>
  </si>
  <si>
    <t>Налог, взимаемый в связи с применением патентной системы налогообложения</t>
  </si>
  <si>
    <t>НДФЛ</t>
  </si>
  <si>
    <t>Вид налога</t>
  </si>
  <si>
    <t xml:space="preserve">Таблица 2 </t>
  </si>
  <si>
    <t>Земельный налог (поселения)</t>
  </si>
  <si>
    <t>Земельный налог (ГО)</t>
  </si>
  <si>
    <t xml:space="preserve">Единый сельскохозяйственный налог </t>
  </si>
  <si>
    <t>Налог на доходы физических лиц (МР, поселения)</t>
  </si>
  <si>
    <t xml:space="preserve">Налог на доходы физических лиц (ГО) </t>
  </si>
  <si>
    <t>Сумма налоговых
баз по муниципаль- ным образованиям</t>
  </si>
  <si>
    <t>Таблица 3</t>
  </si>
  <si>
    <t xml:space="preserve">Шигонский </t>
  </si>
  <si>
    <t xml:space="preserve">Шенталинский </t>
  </si>
  <si>
    <t xml:space="preserve">Челно-Вершинский </t>
  </si>
  <si>
    <t xml:space="preserve">Хворостянский </t>
  </si>
  <si>
    <t xml:space="preserve">Сызранский </t>
  </si>
  <si>
    <t xml:space="preserve">Сергиевский </t>
  </si>
  <si>
    <t xml:space="preserve">Приволжский </t>
  </si>
  <si>
    <t xml:space="preserve">Похвистневский </t>
  </si>
  <si>
    <t xml:space="preserve">Пестравский </t>
  </si>
  <si>
    <t xml:space="preserve">Нефтегорский </t>
  </si>
  <si>
    <t xml:space="preserve">Камышлинский </t>
  </si>
  <si>
    <t xml:space="preserve">Красноярский </t>
  </si>
  <si>
    <t xml:space="preserve">Красноармейский </t>
  </si>
  <si>
    <t xml:space="preserve">Кошкинский </t>
  </si>
  <si>
    <t xml:space="preserve">Клявлинский </t>
  </si>
  <si>
    <t xml:space="preserve">Кинель-Черкасский </t>
  </si>
  <si>
    <t xml:space="preserve">Кинельский </t>
  </si>
  <si>
    <t xml:space="preserve">Исаклинский </t>
  </si>
  <si>
    <t xml:space="preserve">Елховский </t>
  </si>
  <si>
    <t xml:space="preserve">Борский </t>
  </si>
  <si>
    <t xml:space="preserve">Большечерниговский </t>
  </si>
  <si>
    <t xml:space="preserve">Большеглушицкий </t>
  </si>
  <si>
    <t xml:space="preserve">Безенчукский </t>
  </si>
  <si>
    <t>Земельный налог</t>
  </si>
  <si>
    <t>Единый налог на вменён. доход</t>
  </si>
  <si>
    <t>Налог на доходы физических лиц</t>
  </si>
  <si>
    <t>Налоговый потенциал</t>
  </si>
  <si>
    <t>Отрицате- льные транс- ферты</t>
  </si>
  <si>
    <t xml:space="preserve">Налоговый потенциал, с учетом отрицательных трансфертов </t>
  </si>
  <si>
    <t>Таблица 4</t>
  </si>
  <si>
    <r>
      <t>Дошкольное образование (07 01)</t>
    </r>
    <r>
      <rPr>
        <sz val="12"/>
        <rFont val="Times New Roman Cyr"/>
        <family val="0"/>
      </rPr>
      <t xml:space="preserve"> </t>
    </r>
  </si>
  <si>
    <t xml:space="preserve">Всего расходов </t>
  </si>
  <si>
    <t>Общее образование (07 02)</t>
  </si>
  <si>
    <t>МУНИЦИПАЛЬНЫЕ РАЙОНЫ</t>
  </si>
  <si>
    <t>d2</t>
  </si>
  <si>
    <t>d1</t>
  </si>
  <si>
    <t>Доля влияния факторов</t>
  </si>
  <si>
    <t>Наименование м.о.</t>
  </si>
  <si>
    <t>Индекс бюджетных расходов</t>
  </si>
  <si>
    <t>Индексы</t>
  </si>
  <si>
    <t>Таблица 5</t>
  </si>
  <si>
    <t>На 1 тыс. чел.</t>
  </si>
  <si>
    <t>Число лиц школьного возраста, чел.
(5-15 лет)</t>
  </si>
  <si>
    <t>Число лиц дошкольного возраста (до 4 лет), чел.</t>
  </si>
  <si>
    <t>Расчёт индекса затратности по дошкольному и общему образованию</t>
  </si>
  <si>
    <t>Коэффициент масштаба
(1,1- [(Чi-Чmin)/(Чmax-Чmin)]*0,2</t>
  </si>
  <si>
    <t>Единый с/х налог</t>
  </si>
  <si>
    <t>Налог на имущество физ. лиц</t>
  </si>
  <si>
    <t>Вид налога:</t>
  </si>
  <si>
    <t>ГОРОДСКИЕ ОКРУГА (ГОВД)</t>
  </si>
  <si>
    <t>Таблица 6</t>
  </si>
  <si>
    <t>Таблица 7</t>
  </si>
  <si>
    <t>ИЗдошк.; ИЗобщ.обр.
(таблица 6)</t>
  </si>
  <si>
    <t>В том числе:</t>
  </si>
  <si>
    <t xml:space="preserve">Налог на имущество физических лиц </t>
  </si>
  <si>
    <t>Расчёт коэффициента масштаба</t>
  </si>
  <si>
    <t>Коэффи-циент масштаба
(таблица 7)</t>
  </si>
  <si>
    <t>(ИЗдошк.*d1 + ИЗобщ.обр.*d2+1–(d1+d2))*КМ</t>
  </si>
  <si>
    <t>УСН</t>
  </si>
  <si>
    <t>(2)=(3)+(4)</t>
  </si>
  <si>
    <t>Налог, взимаемый в связи с применением упрощенной системы налогообложения</t>
  </si>
  <si>
    <t>Налог, взимаемый в связи с применением упрощенной системы налогообложения (МР)</t>
  </si>
  <si>
    <t>планируемый на</t>
  </si>
  <si>
    <t>Расчёт дотаций на выравнивание бюджетной обеспеченности муниципальных районов (ГО, ГОВД) и дотаций на выравнивание</t>
  </si>
  <si>
    <t>2023 год</t>
  </si>
  <si>
    <t>(8)=(3)/(2)х(4)х(5)</t>
  </si>
  <si>
    <t>(9)=(8)*(6)</t>
  </si>
  <si>
    <t>(10)=(9)*(7)</t>
  </si>
  <si>
    <t>Коэффициенты изменения бюджетного и 
налогового законодательства</t>
  </si>
  <si>
    <t>(методика расчета и распределений дотаций утверждена Законом Самарской области от 28.12.2005 № 235-ГД «О бюджетном устройстве 
и бюджетном процессе в Самарской области»)</t>
  </si>
  <si>
    <t>(2)=(4)-(3)</t>
  </si>
  <si>
    <t>(4)=(5)+…+(11)</t>
  </si>
  <si>
    <t>Численность населения на 01.01.2021, чел.</t>
  </si>
  <si>
    <t>2024 год</t>
  </si>
  <si>
    <t>Репрезентативная налоговая ставка 
на 2024 год</t>
  </si>
  <si>
    <t>Сумма дотации, ранее утверждённая в законе об областном бюджете на 2022 год, тыс.рублей</t>
  </si>
  <si>
    <t>тыс. рублей</t>
  </si>
  <si>
    <t>бюджетной обеспеченности поселений (переводимых в субвенции) на 2023 год</t>
  </si>
  <si>
    <t>Расчёт репрезентативной налоговой ставки по каждому виду налога на 2023-2025 годы</t>
  </si>
  <si>
    <t>Расчёт индекса бюджетных расходов на 2023-2025 годы</t>
  </si>
  <si>
    <t>Численность постоянного населения на 01.01.2022, чел.</t>
  </si>
  <si>
    <t>Численность населения на 01.01.2022, чел.</t>
  </si>
  <si>
    <t>(данные по состоянию на 01.01.2021)</t>
  </si>
  <si>
    <t>Расходы местных бюджетов без учета целевых средств 
по отчету 402r за 2021 год</t>
  </si>
  <si>
    <t>Фактическое поступление в бюджеты ГО и МР за 2021 год, тыс.рублей</t>
  </si>
  <si>
    <t>Налоговая база по НДФЛ, итого</t>
  </si>
  <si>
    <t>Налоговая база по ставке 13% за 2021 год (строка 2030 отчета 5-НДФЛ за 2021 год), тыс. руб.</t>
  </si>
  <si>
    <t>Сумма дополнительного дохода, заявленная в декларациях 3-НДФЛ за 2020 год (общая сумма облагаемого дохода по ставке 13% - строка 2050 отчета 5-ДДК за 2020 год), тыс. руб.</t>
  </si>
  <si>
    <t>Налогообла-гаемая база за 2021 год (строка 030 отчета 5-ЕСХН за 2021 год),  тыс.руб.</t>
  </si>
  <si>
    <t>Сумма налога, подлежащая уплате в бюджет за 2021 год (строка 1600 и строка 2500 отчета 5-МН за 2021 год) + сумма налога, не поступившая в местный бюджет в связи с предоставлением налогоплательщикам местных льгот (строка 1740 и строка 2640 отчета 5-МН за 2021 год), тыс.руб.</t>
  </si>
  <si>
    <t>Выдано патентов за 2021 год (строка 1000 отчета 1-Патент за 2021 год)</t>
  </si>
  <si>
    <t>Сумма налога, подлежащая уплате в бюджет за 2021 год (строка 3500 отчета 5-МН за 2021 год) + сумма налога, не поступившая в местный бюджет в связи с предоставлением налогоплательщикам местных льгот (строка 3650 отчета 5-МН за 2021 год), тыс.руб.</t>
  </si>
  <si>
    <t>Количество налогоплательщиков, представивших налоговые декларации по налогу, уплачиваемому в связи с применением упрощенной системы налогообложения (строка 2000 отчета 5-УСН за 2021 год)</t>
  </si>
  <si>
    <t xml:space="preserve">Исходные данные для расчёта показателя налогового потенциала муниципальных образований на 2023-2025 годы </t>
  </si>
  <si>
    <t>Налог, взимаемый в связи с применением упрощенной системы налогообложения (ГО)</t>
  </si>
  <si>
    <t>в 2022 году</t>
  </si>
  <si>
    <t>2025 год</t>
  </si>
  <si>
    <t xml:space="preserve">Репрезентативная налоговая ставка 
на 2023 год </t>
  </si>
  <si>
    <t>Репрезентативная налоговая ставка 
на 2025 год</t>
  </si>
  <si>
    <t>Таблица 1.1</t>
  </si>
  <si>
    <t>Налоговый потенциал (НП) 2023, тыс.рублей</t>
  </si>
  <si>
    <t>ГОРОДСКИЕ ОКРУГА:</t>
  </si>
  <si>
    <t>МУНИЦИПАЛЬНЫЕ РАЙОНЫ:</t>
  </si>
  <si>
    <t>Нераспределённый резерв</t>
  </si>
  <si>
    <t>Налоговый потенциал (НП) 
2024-2025, тыс.рублей</t>
  </si>
  <si>
    <t>Расчёт дотаций на выравнивание бюджетной обеспеченности муниципальных районов (ГО, ГОВД)  на 2024-2025 годы</t>
  </si>
  <si>
    <t>Расчётная бюджетная обеспечен-ность (РБО) 2024-2025,
[2]/[3]/10,396/[4]</t>
  </si>
  <si>
    <t>Сумма дотации, ранее утверждённая в законе об областном бюджете на 2024 год, тыс.рублей</t>
  </si>
  <si>
    <t>Итоговый размер дотаций на выравнивание бюджетной обеспеченности МР (ГО):</t>
  </si>
  <si>
    <t xml:space="preserve">Размер дотаций на выравнивание бюджетной обеспеченности МР (ГО) на 2024 и 2025 год с учетом формирования нераспределенного объема дотаций в размере не более 20% от общего объема
</t>
  </si>
  <si>
    <t>(8)=(6)*0,8</t>
  </si>
  <si>
    <t>на 2025 год, тыс.рублей</t>
  </si>
  <si>
    <t>на 2024 год с учётом [7], тыс.рублей</t>
  </si>
  <si>
    <t>Расчёт показателей налоговых потенциалов для муниципальных образований на 2023-2025 годы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</si>
</sst>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0.00000"/>
    <numFmt numFmtId="177" formatCode="0.000"/>
    <numFmt numFmtId="178" formatCode="_-* #,##0\ _р_._-;\-* #,##0\ _р_._-;_-* &quot;-&quot;??\ _р_._-;_-@_-"/>
    <numFmt numFmtId="179" formatCode="#,##0.0"/>
    <numFmt numFmtId="180" formatCode="#,##0_ ;[Red]\-#,##0\ "/>
    <numFmt numFmtId="181" formatCode="_-* #,##0_р_._-;\-* #,##0_р_._-;_-* &quot;-&quot;??_р_._-;_-@_-"/>
    <numFmt numFmtId="182" formatCode="#,##0.000"/>
    <numFmt numFmtId="183" formatCode="#,##0.00000000"/>
    <numFmt numFmtId="184" formatCode="#,##0.000000_ ;[Red]\-#,##0.000000\ "/>
    <numFmt numFmtId="185" formatCode="#,##0.000000000000"/>
    <numFmt numFmtId="186" formatCode="#,##0.000_ ;[Red]\-#,##0.000\ "/>
    <numFmt numFmtId="187" formatCode="#,##0.0_ ;[Red]\-#,##0.0\ "/>
    <numFmt numFmtId="188" formatCode="0.0"/>
    <numFmt numFmtId="189" formatCode="#,##0.0000_ ;[Red]\-#,##0.000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0"/>
    <numFmt numFmtId="195" formatCode="0.00000000"/>
  </numFmts>
  <fonts count="7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0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Times new roman cyr"/>
      <family val="1"/>
    </font>
    <font>
      <sz val="9"/>
      <name val="Times new roman cyr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2"/>
      <name val="Times New Roman Cyr"/>
      <family val="0"/>
    </font>
    <font>
      <sz val="12.5"/>
      <name val="Times New Roman Cyr"/>
      <family val="0"/>
    </font>
    <font>
      <sz val="12"/>
      <color indexed="8"/>
      <name val="Times New Roman"/>
      <family val="1"/>
    </font>
    <font>
      <sz val="11"/>
      <name val="Arial Cyr"/>
      <family val="0"/>
    </font>
    <font>
      <sz val="10.5"/>
      <name val="Times new roman cyr"/>
      <family val="1"/>
    </font>
    <font>
      <sz val="10.5"/>
      <name val="Times New Roman"/>
      <family val="1"/>
    </font>
    <font>
      <i/>
      <sz val="12"/>
      <name val="Times new roman cyr"/>
      <family val="0"/>
    </font>
    <font>
      <b/>
      <i/>
      <sz val="12"/>
      <name val="Times New Roman"/>
      <family val="1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2"/>
      <color indexed="10"/>
      <name val="Times new roman cyr"/>
      <family val="0"/>
    </font>
    <font>
      <sz val="12"/>
      <color indexed="52"/>
      <name val="Times new roman cyr"/>
      <family val="1"/>
    </font>
    <font>
      <sz val="12"/>
      <color indexed="63"/>
      <name val="Times new roman cyr"/>
      <family val="1"/>
    </font>
    <font>
      <sz val="11"/>
      <color indexed="10"/>
      <name val="Times New Roman"/>
      <family val="1"/>
    </font>
    <font>
      <b/>
      <sz val="10"/>
      <color indexed="10"/>
      <name val="Times new roman cyr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C00000"/>
      <name val="Times new roman cyr"/>
      <family val="0"/>
    </font>
    <font>
      <sz val="12"/>
      <color theme="5" tint="-0.24997000396251678"/>
      <name val="Times new roman cyr"/>
      <family val="1"/>
    </font>
    <font>
      <sz val="12"/>
      <color theme="1"/>
      <name val="Times new roman cyr"/>
      <family val="1"/>
    </font>
    <font>
      <sz val="11"/>
      <color rgb="FFFF0000"/>
      <name val="Times New Roman"/>
      <family val="1"/>
    </font>
    <font>
      <b/>
      <sz val="10"/>
      <color rgb="FFC00000"/>
      <name val="Times new roman cyr"/>
      <family val="1"/>
    </font>
  </fonts>
  <fills count="4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/>
      <protection/>
    </xf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64" fillId="31" borderId="0" applyNumberFormat="0" applyBorder="0" applyAlignment="0" applyProtection="0"/>
    <xf numFmtId="0" fontId="11" fillId="32" borderId="10">
      <alignment horizontal="left" vertical="top" wrapText="1"/>
      <protection/>
    </xf>
  </cellStyleXfs>
  <cellXfs count="252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17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Alignment="1" applyProtection="1">
      <alignment/>
      <protection/>
    </xf>
    <xf numFmtId="3" fontId="7" fillId="5" borderId="10" xfId="0" applyNumberFormat="1" applyFont="1" applyFill="1" applyBorder="1" applyAlignment="1" applyProtection="1">
      <alignment/>
      <protection/>
    </xf>
    <xf numFmtId="3" fontId="7" fillId="0" borderId="0" xfId="0" applyNumberFormat="1" applyFont="1" applyAlignment="1" applyProtection="1">
      <alignment horizontal="right"/>
      <protection/>
    </xf>
    <xf numFmtId="0" fontId="8" fillId="33" borderId="10" xfId="0" applyFont="1" applyFill="1" applyBorder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/>
      <protection/>
    </xf>
    <xf numFmtId="3" fontId="7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3" fontId="9" fillId="0" borderId="0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182" fontId="7" fillId="33" borderId="10" xfId="0" applyNumberFormat="1" applyFont="1" applyFill="1" applyBorder="1" applyAlignment="1" applyProtection="1">
      <alignment horizontal="center" vertical="center"/>
      <protection/>
    </xf>
    <xf numFmtId="3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34" borderId="0" xfId="0" applyFont="1" applyFill="1" applyAlignment="1" applyProtection="1">
      <alignment/>
      <protection/>
    </xf>
    <xf numFmtId="0" fontId="7" fillId="34" borderId="0" xfId="0" applyFont="1" applyFill="1" applyAlignment="1" applyProtection="1">
      <alignment horizontal="right"/>
      <protection/>
    </xf>
    <xf numFmtId="0" fontId="7" fillId="0" borderId="0" xfId="0" applyFont="1" applyAlignment="1" applyProtection="1">
      <alignment horizontal="center" vertical="center"/>
      <protection/>
    </xf>
    <xf numFmtId="0" fontId="65" fillId="0" borderId="0" xfId="0" applyFont="1" applyAlignment="1" applyProtection="1">
      <alignment/>
      <protection/>
    </xf>
    <xf numFmtId="3" fontId="9" fillId="0" borderId="0" xfId="0" applyNumberFormat="1" applyFont="1" applyBorder="1" applyAlignment="1">
      <alignment horizontal="left" vertical="center"/>
    </xf>
    <xf numFmtId="0" fontId="7" fillId="0" borderId="0" xfId="54" applyFont="1">
      <alignment/>
      <protection/>
    </xf>
    <xf numFmtId="3" fontId="7" fillId="0" borderId="0" xfId="54" applyNumberFormat="1" applyFont="1">
      <alignment/>
      <protection/>
    </xf>
    <xf numFmtId="3" fontId="9" fillId="0" borderId="0" xfId="54" applyNumberFormat="1" applyFont="1">
      <alignment/>
      <protection/>
    </xf>
    <xf numFmtId="3" fontId="8" fillId="33" borderId="10" xfId="54" applyNumberFormat="1" applyFont="1" applyFill="1" applyBorder="1" applyAlignment="1">
      <alignment horizontal="right" vertical="center" indent="1"/>
      <protection/>
    </xf>
    <xf numFmtId="0" fontId="7" fillId="0" borderId="0" xfId="54" applyFont="1" applyBorder="1">
      <alignment/>
      <protection/>
    </xf>
    <xf numFmtId="0" fontId="7" fillId="0" borderId="0" xfId="54" applyFont="1" applyFill="1" applyBorder="1">
      <alignment/>
      <protection/>
    </xf>
    <xf numFmtId="0" fontId="7" fillId="0" borderId="0" xfId="54" applyFont="1" applyBorder="1" applyAlignment="1">
      <alignment vertical="center" wrapText="1"/>
      <protection/>
    </xf>
    <xf numFmtId="49" fontId="7" fillId="0" borderId="10" xfId="54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 wrapText="1"/>
      <protection/>
    </xf>
    <xf numFmtId="0" fontId="18" fillId="35" borderId="10" xfId="54" applyNumberFormat="1" applyFont="1" applyFill="1" applyBorder="1" applyAlignment="1" applyProtection="1">
      <alignment horizontal="center" vertical="center" wrapText="1"/>
      <protection/>
    </xf>
    <xf numFmtId="0" fontId="7" fillId="35" borderId="10" xfId="54" applyNumberFormat="1" applyFont="1" applyFill="1" applyBorder="1" applyAlignment="1" applyProtection="1">
      <alignment horizontal="center" vertical="center" wrapText="1"/>
      <protection/>
    </xf>
    <xf numFmtId="0" fontId="7" fillId="35" borderId="10" xfId="54" applyFont="1" applyFill="1" applyBorder="1" applyAlignment="1">
      <alignment horizontal="center" vertical="center" wrapText="1"/>
      <protection/>
    </xf>
    <xf numFmtId="0" fontId="12" fillId="0" borderId="0" xfId="54" applyFont="1" applyAlignment="1">
      <alignment vertical="center"/>
      <protection/>
    </xf>
    <xf numFmtId="0" fontId="12" fillId="0" borderId="0" xfId="54" applyFont="1" applyAlignment="1">
      <alignment vertical="center" wrapText="1"/>
      <protection/>
    </xf>
    <xf numFmtId="0" fontId="12" fillId="0" borderId="0" xfId="54" applyFont="1" applyAlignment="1">
      <alignment vertical="center"/>
      <protection/>
    </xf>
    <xf numFmtId="49" fontId="12" fillId="36" borderId="10" xfId="54" applyNumberFormat="1" applyFont="1" applyFill="1" applyBorder="1" applyAlignment="1">
      <alignment horizontal="center" vertical="center" wrapText="1"/>
      <protection/>
    </xf>
    <xf numFmtId="0" fontId="12" fillId="26" borderId="0" xfId="54" applyFont="1" applyFill="1" applyBorder="1" applyAlignment="1">
      <alignment vertical="center"/>
      <protection/>
    </xf>
    <xf numFmtId="0" fontId="12" fillId="26" borderId="0" xfId="54" applyFont="1" applyFill="1" applyBorder="1" applyAlignment="1">
      <alignment vertical="center" wrapText="1"/>
      <protection/>
    </xf>
    <xf numFmtId="0" fontId="7" fillId="0" borderId="0" xfId="54" applyFont="1" applyAlignment="1">
      <alignment vertical="center"/>
      <protection/>
    </xf>
    <xf numFmtId="2" fontId="7" fillId="0" borderId="0" xfId="54" applyNumberFormat="1" applyFont="1" applyAlignment="1">
      <alignment vertical="center"/>
      <protection/>
    </xf>
    <xf numFmtId="3" fontId="7" fillId="0" borderId="0" xfId="54" applyNumberFormat="1" applyFont="1" applyAlignment="1">
      <alignment vertical="center"/>
      <protection/>
    </xf>
    <xf numFmtId="0" fontId="8" fillId="0" borderId="0" xfId="54" applyFont="1" applyAlignment="1">
      <alignment vertical="center"/>
      <protection/>
    </xf>
    <xf numFmtId="3" fontId="8" fillId="33" borderId="10" xfId="55" applyNumberFormat="1" applyFont="1" applyFill="1" applyBorder="1" applyAlignment="1">
      <alignment horizontal="center" vertical="center"/>
      <protection/>
    </xf>
    <xf numFmtId="4" fontId="8" fillId="33" borderId="10" xfId="55" applyNumberFormat="1" applyFont="1" applyFill="1" applyBorder="1" applyAlignment="1">
      <alignment horizontal="center" vertical="center"/>
      <protection/>
    </xf>
    <xf numFmtId="0" fontId="7" fillId="0" borderId="0" xfId="54" applyFont="1" applyBorder="1" applyAlignment="1">
      <alignment vertical="center"/>
      <protection/>
    </xf>
    <xf numFmtId="0" fontId="7" fillId="0" borderId="0" xfId="54" applyFont="1" applyFill="1" applyBorder="1" applyAlignment="1">
      <alignment vertical="center"/>
      <protection/>
    </xf>
    <xf numFmtId="49" fontId="7" fillId="33" borderId="10" xfId="54" applyNumberFormat="1" applyFont="1" applyFill="1" applyBorder="1" applyAlignment="1">
      <alignment horizontal="center" vertical="center" wrapText="1"/>
      <protection/>
    </xf>
    <xf numFmtId="0" fontId="7" fillId="33" borderId="10" xfId="54" applyNumberFormat="1" applyFont="1" applyFill="1" applyBorder="1" applyAlignment="1" applyProtection="1">
      <alignment horizontal="center" vertical="center" wrapText="1"/>
      <protection/>
    </xf>
    <xf numFmtId="0" fontId="7" fillId="33" borderId="10" xfId="54" applyFont="1" applyFill="1" applyBorder="1" applyAlignment="1">
      <alignment horizontal="center" vertical="center" wrapText="1"/>
      <protection/>
    </xf>
    <xf numFmtId="0" fontId="21" fillId="33" borderId="10" xfId="54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" fontId="8" fillId="23" borderId="10" xfId="0" applyNumberFormat="1" applyFont="1" applyFill="1" applyBorder="1" applyAlignment="1" applyProtection="1">
      <alignment horizontal="right"/>
      <protection/>
    </xf>
    <xf numFmtId="3" fontId="8" fillId="23" borderId="10" xfId="0" applyNumberFormat="1" applyFont="1" applyFill="1" applyBorder="1" applyAlignment="1">
      <alignment horizontal="right" vertical="center" indent="1"/>
    </xf>
    <xf numFmtId="0" fontId="8" fillId="23" borderId="1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right"/>
    </xf>
    <xf numFmtId="0" fontId="7" fillId="34" borderId="0" xfId="0" applyFont="1" applyFill="1" applyAlignment="1">
      <alignment horizontal="left"/>
    </xf>
    <xf numFmtId="0" fontId="7" fillId="38" borderId="10" xfId="0" applyFont="1" applyFill="1" applyBorder="1" applyAlignment="1">
      <alignment horizontal="center" vertical="center" wrapText="1"/>
    </xf>
    <xf numFmtId="177" fontId="25" fillId="38" borderId="10" xfId="0" applyNumberFormat="1" applyFont="1" applyFill="1" applyBorder="1" applyAlignment="1">
      <alignment horizontal="center" vertical="center" wrapText="1"/>
    </xf>
    <xf numFmtId="0" fontId="12" fillId="38" borderId="10" xfId="0" applyFont="1" applyFill="1" applyBorder="1" applyAlignment="1">
      <alignment horizontal="center" vertical="center" wrapText="1"/>
    </xf>
    <xf numFmtId="177" fontId="12" fillId="38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/>
      <protection/>
    </xf>
    <xf numFmtId="0" fontId="66" fillId="30" borderId="11" xfId="0" applyFont="1" applyFill="1" applyBorder="1" applyAlignment="1" applyProtection="1">
      <alignment vertical="center"/>
      <protection/>
    </xf>
    <xf numFmtId="3" fontId="16" fillId="0" borderId="0" xfId="54" applyNumberFormat="1" applyFont="1" applyFill="1" applyBorder="1" applyAlignment="1">
      <alignment horizontal="right" vertical="center" indent="1"/>
      <protection/>
    </xf>
    <xf numFmtId="3" fontId="15" fillId="0" borderId="0" xfId="54" applyNumberFormat="1" applyFont="1" applyFill="1" applyBorder="1" applyAlignment="1">
      <alignment horizontal="center" vertical="center"/>
      <protection/>
    </xf>
    <xf numFmtId="3" fontId="13" fillId="0" borderId="0" xfId="54" applyNumberFormat="1" applyFont="1" applyFill="1" applyBorder="1" applyAlignment="1" applyProtection="1">
      <alignment horizontal="center" vertical="center"/>
      <protection/>
    </xf>
    <xf numFmtId="0" fontId="7" fillId="0" borderId="0" xfId="33" applyFont="1" applyFill="1" applyBorder="1" applyAlignment="1">
      <alignment vertical="center"/>
      <protection/>
    </xf>
    <xf numFmtId="181" fontId="9" fillId="0" borderId="0" xfId="68" applyNumberFormat="1" applyFont="1" applyFill="1" applyBorder="1" applyAlignment="1">
      <alignment/>
    </xf>
    <xf numFmtId="0" fontId="9" fillId="0" borderId="0" xfId="54" applyFont="1" applyFill="1" applyBorder="1">
      <alignment/>
      <protection/>
    </xf>
    <xf numFmtId="3" fontId="7" fillId="0" borderId="0" xfId="55" applyNumberFormat="1" applyFont="1" applyFill="1" applyBorder="1" applyAlignment="1">
      <alignment horizontal="center" vertical="center"/>
      <protection/>
    </xf>
    <xf numFmtId="4" fontId="7" fillId="0" borderId="0" xfId="55" applyNumberFormat="1" applyFont="1" applyFill="1" applyBorder="1" applyAlignment="1">
      <alignment horizontal="center" vertical="center"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0" fontId="12" fillId="0" borderId="0" xfId="54" applyFont="1" applyBorder="1" applyAlignment="1">
      <alignment vertical="center" wrapText="1"/>
      <protection/>
    </xf>
    <xf numFmtId="3" fontId="22" fillId="0" borderId="0" xfId="54" applyNumberFormat="1" applyFont="1" applyFill="1" applyBorder="1" applyAlignment="1">
      <alignment horizontal="right" vertical="center" indent="1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3" fontId="67" fillId="0" borderId="0" xfId="0" applyNumberFormat="1" applyFont="1" applyFill="1" applyBorder="1" applyAlignment="1" applyProtection="1">
      <alignment horizontal="right" vertical="center" indent="1"/>
      <protection/>
    </xf>
    <xf numFmtId="179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81" fontId="12" fillId="0" borderId="0" xfId="66" applyNumberFormat="1" applyFont="1" applyFill="1" applyBorder="1" applyAlignment="1">
      <alignment horizontal="right"/>
    </xf>
    <xf numFmtId="3" fontId="67" fillId="0" borderId="0" xfId="0" applyNumberFormat="1" applyFont="1" applyFill="1" applyBorder="1" applyAlignment="1" applyProtection="1">
      <alignment horizontal="center"/>
      <protection/>
    </xf>
    <xf numFmtId="181" fontId="23" fillId="0" borderId="0" xfId="66" applyNumberFormat="1" applyFont="1" applyFill="1" applyBorder="1" applyAlignment="1">
      <alignment horizontal="right" wrapText="1"/>
    </xf>
    <xf numFmtId="0" fontId="8" fillId="37" borderId="10" xfId="0" applyFont="1" applyFill="1" applyBorder="1" applyAlignment="1">
      <alignment horizontal="left" vertical="center"/>
    </xf>
    <xf numFmtId="3" fontId="8" fillId="37" borderId="10" xfId="0" applyNumberFormat="1" applyFont="1" applyFill="1" applyBorder="1" applyAlignment="1">
      <alignment horizontal="center" vertical="center"/>
    </xf>
    <xf numFmtId="179" fontId="8" fillId="37" borderId="10" xfId="0" applyNumberFormat="1" applyFont="1" applyFill="1" applyBorder="1" applyAlignment="1">
      <alignment horizontal="center" vertical="center"/>
    </xf>
    <xf numFmtId="4" fontId="8" fillId="37" borderId="1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 indent="1"/>
    </xf>
    <xf numFmtId="4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181" fontId="12" fillId="0" borderId="0" xfId="66" applyNumberFormat="1" applyFont="1" applyFill="1" applyBorder="1" applyAlignment="1">
      <alignment/>
    </xf>
    <xf numFmtId="181" fontId="9" fillId="36" borderId="10" xfId="68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3" fontId="7" fillId="0" borderId="10" xfId="56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Border="1" applyAlignment="1" applyProtection="1">
      <alignment horizontal="center"/>
      <protection/>
    </xf>
    <xf numFmtId="4" fontId="7" fillId="0" borderId="10" xfId="0" applyNumberFormat="1" applyFont="1" applyFill="1" applyBorder="1" applyAlignment="1" applyProtection="1">
      <alignment horizontal="center"/>
      <protection/>
    </xf>
    <xf numFmtId="3" fontId="7" fillId="0" borderId="10" xfId="0" applyNumberFormat="1" applyFont="1" applyFill="1" applyBorder="1" applyAlignment="1" applyProtection="1">
      <alignment/>
      <protection/>
    </xf>
    <xf numFmtId="3" fontId="7" fillId="0" borderId="10" xfId="0" applyNumberFormat="1" applyFont="1" applyBorder="1" applyAlignment="1" applyProtection="1">
      <alignment horizontal="center"/>
      <protection/>
    </xf>
    <xf numFmtId="3" fontId="7" fillId="0" borderId="10" xfId="0" applyNumberFormat="1" applyFont="1" applyFill="1" applyBorder="1" applyAlignment="1" applyProtection="1">
      <alignment horizontal="center"/>
      <protection/>
    </xf>
    <xf numFmtId="183" fontId="8" fillId="37" borderId="11" xfId="0" applyNumberFormat="1" applyFont="1" applyFill="1" applyBorder="1" applyAlignment="1" applyProtection="1">
      <alignment horizontal="center" vertical="center"/>
      <protection/>
    </xf>
    <xf numFmtId="3" fontId="8" fillId="37" borderId="11" xfId="0" applyNumberFormat="1" applyFont="1" applyFill="1" applyBorder="1" applyAlignment="1" applyProtection="1">
      <alignment horizontal="center" vertical="center"/>
      <protection/>
    </xf>
    <xf numFmtId="0" fontId="8" fillId="30" borderId="11" xfId="0" applyFont="1" applyFill="1" applyBorder="1" applyAlignment="1" applyProtection="1">
      <alignment horizontal="center" vertical="center"/>
      <protection/>
    </xf>
    <xf numFmtId="184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/>
    </xf>
    <xf numFmtId="0" fontId="12" fillId="0" borderId="0" xfId="54" applyFont="1" applyFill="1" applyAlignment="1">
      <alignment vertical="center"/>
      <protection/>
    </xf>
    <xf numFmtId="185" fontId="7" fillId="0" borderId="0" xfId="0" applyNumberFormat="1" applyFont="1" applyAlignment="1">
      <alignment/>
    </xf>
    <xf numFmtId="183" fontId="7" fillId="0" borderId="0" xfId="0" applyNumberFormat="1" applyFont="1" applyAlignment="1" applyProtection="1">
      <alignment/>
      <protection/>
    </xf>
    <xf numFmtId="177" fontId="7" fillId="0" borderId="0" xfId="0" applyNumberFormat="1" applyFont="1" applyAlignment="1">
      <alignment/>
    </xf>
    <xf numFmtId="0" fontId="12" fillId="0" borderId="0" xfId="54" applyFont="1" applyFill="1" applyBorder="1" applyAlignment="1">
      <alignment vertical="center" wrapText="1"/>
      <protection/>
    </xf>
    <xf numFmtId="187" fontId="7" fillId="0" borderId="0" xfId="0" applyNumberFormat="1" applyFont="1" applyAlignment="1" applyProtection="1">
      <alignment/>
      <protection/>
    </xf>
    <xf numFmtId="181" fontId="7" fillId="0" borderId="0" xfId="33" applyNumberFormat="1" applyFont="1" applyFill="1" applyBorder="1" applyAlignment="1">
      <alignment vertical="center"/>
      <protection/>
    </xf>
    <xf numFmtId="2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4" fontId="12" fillId="0" borderId="0" xfId="54" applyNumberFormat="1" applyFont="1" applyAlignment="1">
      <alignment vertical="center"/>
      <protection/>
    </xf>
    <xf numFmtId="3" fontId="7" fillId="0" borderId="0" xfId="0" applyNumberFormat="1" applyFont="1" applyFill="1" applyAlignment="1" applyProtection="1">
      <alignment/>
      <protection/>
    </xf>
    <xf numFmtId="0" fontId="12" fillId="39" borderId="0" xfId="54" applyFont="1" applyFill="1" applyAlignment="1">
      <alignment vertical="center"/>
      <protection/>
    </xf>
    <xf numFmtId="181" fontId="7" fillId="0" borderId="0" xfId="54" applyNumberFormat="1" applyFont="1" applyFill="1" applyBorder="1">
      <alignment/>
      <protection/>
    </xf>
    <xf numFmtId="3" fontId="27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 horizontal="center"/>
      <protection/>
    </xf>
    <xf numFmtId="0" fontId="28" fillId="26" borderId="0" xfId="54" applyFont="1" applyFill="1" applyBorder="1" applyAlignment="1">
      <alignment horizontal="center" vertical="center" wrapText="1"/>
      <protection/>
    </xf>
    <xf numFmtId="176" fontId="12" fillId="0" borderId="0" xfId="54" applyNumberFormat="1" applyFont="1" applyAlignment="1">
      <alignment vertical="center"/>
      <protection/>
    </xf>
    <xf numFmtId="178" fontId="7" fillId="0" borderId="10" xfId="66" applyNumberFormat="1" applyFont="1" applyFill="1" applyBorder="1" applyAlignment="1" applyProtection="1">
      <alignment horizontal="center"/>
      <protection/>
    </xf>
    <xf numFmtId="180" fontId="9" fillId="0" borderId="0" xfId="68" applyNumberFormat="1" applyFont="1" applyFill="1" applyBorder="1" applyAlignment="1">
      <alignment/>
    </xf>
    <xf numFmtId="180" fontId="9" fillId="0" borderId="0" xfId="54" applyNumberFormat="1" applyFont="1" applyFill="1" applyBorder="1" applyAlignment="1">
      <alignment/>
      <protection/>
    </xf>
    <xf numFmtId="180" fontId="68" fillId="0" borderId="0" xfId="54" applyNumberFormat="1" applyFont="1" applyFill="1" applyBorder="1" applyAlignment="1">
      <alignment/>
      <protection/>
    </xf>
    <xf numFmtId="0" fontId="12" fillId="36" borderId="10" xfId="54" applyFont="1" applyFill="1" applyBorder="1" applyAlignment="1">
      <alignment horizontal="center" vertical="center" wrapText="1"/>
      <protection/>
    </xf>
    <xf numFmtId="4" fontId="19" fillId="0" borderId="0" xfId="54" applyNumberFormat="1" applyFont="1" applyFill="1" applyBorder="1" applyAlignment="1">
      <alignment horizontal="center" vertical="center"/>
      <protection/>
    </xf>
    <xf numFmtId="2" fontId="19" fillId="0" borderId="0" xfId="54" applyNumberFormat="1" applyFont="1" applyFill="1" applyBorder="1" applyAlignment="1">
      <alignment horizontal="center" vertical="center"/>
      <protection/>
    </xf>
    <xf numFmtId="176" fontId="19" fillId="0" borderId="0" xfId="54" applyNumberFormat="1" applyFont="1" applyFill="1" applyBorder="1" applyAlignment="1">
      <alignment vertical="center"/>
      <protection/>
    </xf>
    <xf numFmtId="2" fontId="7" fillId="0" borderId="0" xfId="0" applyNumberFormat="1" applyFont="1" applyAlignment="1" applyProtection="1">
      <alignment/>
      <protection/>
    </xf>
    <xf numFmtId="194" fontId="8" fillId="0" borderId="0" xfId="0" applyNumberFormat="1" applyFont="1" applyFill="1" applyBorder="1" applyAlignment="1" applyProtection="1">
      <alignment horizontal="center" vertical="center"/>
      <protection/>
    </xf>
    <xf numFmtId="176" fontId="7" fillId="40" borderId="1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horizontal="center" vertical="top"/>
      <protection/>
    </xf>
    <xf numFmtId="3" fontId="7" fillId="0" borderId="0" xfId="56" applyNumberFormat="1" applyFont="1" applyFill="1" applyBorder="1" applyAlignment="1" applyProtection="1">
      <alignment horizontal="center" vertical="center" wrapText="1"/>
      <protection/>
    </xf>
    <xf numFmtId="180" fontId="7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>
      <alignment horizontal="center"/>
    </xf>
    <xf numFmtId="3" fontId="27" fillId="0" borderId="0" xfId="56" applyNumberFormat="1" applyFont="1" applyFill="1" applyBorder="1" applyAlignment="1" applyProtection="1">
      <alignment horizontal="center" vertical="center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177" fontId="7" fillId="0" borderId="0" xfId="0" applyNumberFormat="1" applyFont="1" applyAlignment="1" applyProtection="1">
      <alignment/>
      <protection/>
    </xf>
    <xf numFmtId="195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 applyProtection="1">
      <alignment/>
      <protection/>
    </xf>
    <xf numFmtId="0" fontId="0" fillId="0" borderId="0" xfId="0" applyFill="1" applyAlignment="1">
      <alignment/>
    </xf>
    <xf numFmtId="179" fontId="69" fillId="0" borderId="12" xfId="0" applyNumberFormat="1" applyFont="1" applyFill="1" applyBorder="1" applyAlignment="1" applyProtection="1">
      <alignment vertical="center"/>
      <protection/>
    </xf>
    <xf numFmtId="0" fontId="28" fillId="0" borderId="12" xfId="54" applyFont="1" applyFill="1" applyBorder="1" applyAlignment="1">
      <alignment horizontal="center" vertical="center" wrapText="1"/>
      <protection/>
    </xf>
    <xf numFmtId="0" fontId="7" fillId="34" borderId="13" xfId="0" applyFont="1" applyFill="1" applyBorder="1" applyAlignment="1" applyProtection="1">
      <alignment/>
      <protection/>
    </xf>
    <xf numFmtId="0" fontId="7" fillId="34" borderId="14" xfId="0" applyFont="1" applyFill="1" applyBorder="1" applyAlignment="1" applyProtection="1">
      <alignment/>
      <protection/>
    </xf>
    <xf numFmtId="0" fontId="7" fillId="34" borderId="15" xfId="0" applyFont="1" applyFill="1" applyBorder="1" applyAlignment="1" applyProtection="1">
      <alignment horizontal="right"/>
      <protection/>
    </xf>
    <xf numFmtId="0" fontId="7" fillId="0" borderId="16" xfId="54" applyFont="1" applyFill="1" applyBorder="1" applyAlignment="1">
      <alignment vertical="center"/>
      <protection/>
    </xf>
    <xf numFmtId="0" fontId="7" fillId="0" borderId="17" xfId="54" applyFont="1" applyFill="1" applyBorder="1" applyAlignment="1">
      <alignment vertical="center"/>
      <protection/>
    </xf>
    <xf numFmtId="0" fontId="7" fillId="0" borderId="16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3" fontId="7" fillId="0" borderId="0" xfId="0" applyNumberFormat="1" applyFont="1" applyBorder="1" applyAlignment="1" applyProtection="1">
      <alignment/>
      <protection/>
    </xf>
    <xf numFmtId="3" fontId="7" fillId="0" borderId="17" xfId="0" applyNumberFormat="1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/>
      <protection/>
    </xf>
    <xf numFmtId="0" fontId="27" fillId="0" borderId="16" xfId="0" applyFont="1" applyBorder="1" applyAlignment="1" applyProtection="1">
      <alignment/>
      <protection/>
    </xf>
    <xf numFmtId="3" fontId="27" fillId="0" borderId="0" xfId="0" applyNumberFormat="1" applyFont="1" applyBorder="1" applyAlignment="1" applyProtection="1">
      <alignment/>
      <protection/>
    </xf>
    <xf numFmtId="2" fontId="27" fillId="0" borderId="0" xfId="0" applyNumberFormat="1" applyFont="1" applyBorder="1" applyAlignment="1" applyProtection="1">
      <alignment horizontal="center"/>
      <protection/>
    </xf>
    <xf numFmtId="4" fontId="27" fillId="0" borderId="0" xfId="0" applyNumberFormat="1" applyFont="1" applyFill="1" applyBorder="1" applyAlignment="1" applyProtection="1">
      <alignment horizontal="center"/>
      <protection/>
    </xf>
    <xf numFmtId="3" fontId="27" fillId="0" borderId="17" xfId="0" applyNumberFormat="1" applyFont="1" applyFill="1" applyBorder="1" applyAlignment="1" applyProtection="1">
      <alignment/>
      <protection/>
    </xf>
    <xf numFmtId="3" fontId="7" fillId="0" borderId="0" xfId="0" applyNumberFormat="1" applyFont="1" applyBorder="1" applyAlignment="1" applyProtection="1">
      <alignment horizontal="right"/>
      <protection/>
    </xf>
    <xf numFmtId="2" fontId="7" fillId="0" borderId="0" xfId="0" applyNumberFormat="1" applyFont="1" applyBorder="1" applyAlignment="1" applyProtection="1">
      <alignment/>
      <protection/>
    </xf>
    <xf numFmtId="179" fontId="7" fillId="0" borderId="0" xfId="0" applyNumberFormat="1" applyFont="1" applyBorder="1" applyAlignment="1" applyProtection="1">
      <alignment/>
      <protection/>
    </xf>
    <xf numFmtId="3" fontId="7" fillId="0" borderId="10" xfId="0" applyNumberFormat="1" applyFont="1" applyBorder="1" applyAlignment="1" applyProtection="1">
      <alignment/>
      <protection/>
    </xf>
    <xf numFmtId="180" fontId="7" fillId="0" borderId="10" xfId="0" applyNumberFormat="1" applyFont="1" applyFill="1" applyBorder="1" applyAlignment="1" applyProtection="1">
      <alignment/>
      <protection/>
    </xf>
    <xf numFmtId="0" fontId="7" fillId="0" borderId="12" xfId="54" applyFont="1" applyFill="1" applyBorder="1" applyAlignment="1">
      <alignment vertical="center"/>
      <protection/>
    </xf>
    <xf numFmtId="0" fontId="7" fillId="34" borderId="13" xfId="54" applyFont="1" applyFill="1" applyBorder="1" applyAlignment="1">
      <alignment vertical="center"/>
      <protection/>
    </xf>
    <xf numFmtId="0" fontId="7" fillId="34" borderId="14" xfId="54" applyFont="1" applyFill="1" applyBorder="1" applyAlignment="1">
      <alignment vertical="center"/>
      <protection/>
    </xf>
    <xf numFmtId="0" fontId="7" fillId="0" borderId="14" xfId="54" applyFont="1" applyBorder="1" applyAlignment="1">
      <alignment vertical="center"/>
      <protection/>
    </xf>
    <xf numFmtId="0" fontId="7" fillId="34" borderId="15" xfId="54" applyFont="1" applyFill="1" applyBorder="1" applyAlignment="1">
      <alignment horizontal="right" vertical="center"/>
      <protection/>
    </xf>
    <xf numFmtId="0" fontId="7" fillId="34" borderId="0" xfId="54" applyFont="1" applyFill="1" applyBorder="1" applyAlignment="1">
      <alignment vertical="center"/>
      <protection/>
    </xf>
    <xf numFmtId="0" fontId="7" fillId="34" borderId="17" xfId="54" applyFont="1" applyFill="1" applyBorder="1" applyAlignment="1">
      <alignment vertical="center"/>
      <protection/>
    </xf>
    <xf numFmtId="0" fontId="7" fillId="0" borderId="18" xfId="54" applyFont="1" applyFill="1" applyBorder="1" applyAlignment="1">
      <alignment vertical="center"/>
      <protection/>
    </xf>
    <xf numFmtId="0" fontId="17" fillId="0" borderId="19" xfId="54" applyFont="1" applyFill="1" applyBorder="1" applyAlignment="1">
      <alignment horizontal="right" vertical="center"/>
      <protection/>
    </xf>
    <xf numFmtId="0" fontId="7" fillId="0" borderId="16" xfId="33" applyFont="1" applyFill="1" applyBorder="1" applyAlignment="1">
      <alignment vertical="center"/>
      <protection/>
    </xf>
    <xf numFmtId="3" fontId="7" fillId="0" borderId="17" xfId="55" applyNumberFormat="1" applyFont="1" applyFill="1" applyBorder="1" applyAlignment="1">
      <alignment horizontal="center" vertical="center"/>
      <protection/>
    </xf>
    <xf numFmtId="0" fontId="7" fillId="0" borderId="12" xfId="54" applyNumberFormat="1" applyFont="1" applyFill="1" applyBorder="1" applyAlignment="1" applyProtection="1">
      <alignment vertical="top" wrapText="1"/>
      <protection/>
    </xf>
    <xf numFmtId="0" fontId="14" fillId="0" borderId="20" xfId="0" applyFont="1" applyFill="1" applyBorder="1" applyAlignment="1" applyProtection="1">
      <alignment horizontal="center" vertical="top" wrapText="1"/>
      <protection/>
    </xf>
    <xf numFmtId="0" fontId="14" fillId="0" borderId="21" xfId="0" applyFont="1" applyFill="1" applyBorder="1" applyAlignment="1" applyProtection="1">
      <alignment horizontal="center" vertical="top" wrapText="1"/>
      <protection/>
    </xf>
    <xf numFmtId="0" fontId="14" fillId="0" borderId="22" xfId="0" applyFont="1" applyFill="1" applyBorder="1" applyAlignment="1" applyProtection="1">
      <alignment horizontal="center" vertical="top" wrapText="1"/>
      <protection/>
    </xf>
    <xf numFmtId="0" fontId="10" fillId="0" borderId="20" xfId="54" applyFont="1" applyFill="1" applyBorder="1" applyAlignment="1">
      <alignment horizontal="center" vertical="center" wrapText="1"/>
      <protection/>
    </xf>
    <xf numFmtId="0" fontId="10" fillId="0" borderId="21" xfId="54" applyFont="1" applyFill="1" applyBorder="1" applyAlignment="1">
      <alignment horizontal="center" vertical="center" wrapText="1"/>
      <protection/>
    </xf>
    <xf numFmtId="0" fontId="10" fillId="0" borderId="22" xfId="54" applyFont="1" applyFill="1" applyBorder="1" applyAlignment="1">
      <alignment horizontal="center" vertical="center" wrapText="1"/>
      <protection/>
    </xf>
    <xf numFmtId="0" fontId="28" fillId="0" borderId="23" xfId="54" applyFont="1" applyFill="1" applyBorder="1" applyAlignment="1">
      <alignment horizontal="center" vertical="center" wrapText="1"/>
      <protection/>
    </xf>
    <xf numFmtId="0" fontId="28" fillId="0" borderId="24" xfId="54" applyFont="1" applyFill="1" applyBorder="1" applyAlignment="1">
      <alignment horizontal="center" vertical="center" wrapText="1"/>
      <protection/>
    </xf>
    <xf numFmtId="0" fontId="28" fillId="0" borderId="25" xfId="54" applyFont="1" applyFill="1" applyBorder="1" applyAlignment="1">
      <alignment horizontal="center" vertical="center" wrapText="1"/>
      <protection/>
    </xf>
    <xf numFmtId="17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8" fillId="0" borderId="17" xfId="0" applyFont="1" applyFill="1" applyBorder="1" applyAlignment="1" applyProtection="1">
      <alignment horizontal="center" vertical="top"/>
      <protection/>
    </xf>
    <xf numFmtId="0" fontId="7" fillId="33" borderId="26" xfId="0" applyFont="1" applyFill="1" applyBorder="1" applyAlignment="1" applyProtection="1">
      <alignment horizontal="center" vertical="center" wrapText="1"/>
      <protection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179" fontId="7" fillId="33" borderId="26" xfId="0" applyNumberFormat="1" applyFont="1" applyFill="1" applyBorder="1" applyAlignment="1" applyProtection="1">
      <alignment horizontal="center" vertical="center" wrapText="1"/>
      <protection/>
    </xf>
    <xf numFmtId="179" fontId="7" fillId="33" borderId="27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54" applyFont="1" applyFill="1" applyBorder="1" applyAlignment="1">
      <alignment horizontal="center" vertical="center" wrapText="1"/>
      <protection/>
    </xf>
    <xf numFmtId="0" fontId="7" fillId="34" borderId="0" xfId="54" applyNumberFormat="1" applyFont="1" applyFill="1" applyBorder="1" applyAlignment="1" applyProtection="1">
      <alignment horizontal="right" vertical="top" wrapText="1"/>
      <protection/>
    </xf>
    <xf numFmtId="0" fontId="9" fillId="36" borderId="26" xfId="54" applyNumberFormat="1" applyFont="1" applyFill="1" applyBorder="1" applyAlignment="1" applyProtection="1">
      <alignment horizontal="center" vertical="center" wrapText="1"/>
      <protection/>
    </xf>
    <xf numFmtId="0" fontId="9" fillId="36" borderId="27" xfId="54" applyNumberFormat="1" applyFont="1" applyFill="1" applyBorder="1" applyAlignment="1" applyProtection="1">
      <alignment horizontal="center" vertical="center" wrapText="1"/>
      <protection/>
    </xf>
    <xf numFmtId="181" fontId="9" fillId="36" borderId="26" xfId="68" applyNumberFormat="1" applyFont="1" applyFill="1" applyBorder="1" applyAlignment="1" applyProtection="1">
      <alignment horizontal="center" vertical="center" wrapText="1"/>
      <protection/>
    </xf>
    <xf numFmtId="181" fontId="9" fillId="36" borderId="27" xfId="68" applyNumberFormat="1" applyFont="1" applyFill="1" applyBorder="1" applyAlignment="1" applyProtection="1">
      <alignment horizontal="center" vertical="center" wrapText="1"/>
      <protection/>
    </xf>
    <xf numFmtId="0" fontId="9" fillId="36" borderId="26" xfId="0" applyNumberFormat="1" applyFont="1" applyFill="1" applyBorder="1" applyAlignment="1" applyProtection="1">
      <alignment horizontal="center" vertical="center" wrapText="1"/>
      <protection/>
    </xf>
    <xf numFmtId="0" fontId="9" fillId="36" borderId="27" xfId="0" applyNumberFormat="1" applyFont="1" applyFill="1" applyBorder="1" applyAlignment="1" applyProtection="1">
      <alignment horizontal="center" vertical="center" wrapText="1"/>
      <protection/>
    </xf>
    <xf numFmtId="0" fontId="7" fillId="35" borderId="29" xfId="54" applyNumberFormat="1" applyFont="1" applyFill="1" applyBorder="1" applyAlignment="1" applyProtection="1">
      <alignment horizontal="center" vertical="center" wrapText="1"/>
      <protection/>
    </xf>
    <xf numFmtId="0" fontId="7" fillId="35" borderId="30" xfId="54" applyNumberFormat="1" applyFont="1" applyFill="1" applyBorder="1" applyAlignment="1" applyProtection="1">
      <alignment horizontal="center" vertical="center" wrapText="1"/>
      <protection/>
    </xf>
    <xf numFmtId="0" fontId="7" fillId="35" borderId="11" xfId="54" applyNumberFormat="1" applyFont="1" applyFill="1" applyBorder="1" applyAlignment="1" applyProtection="1">
      <alignment horizontal="center" vertical="center" wrapText="1"/>
      <protection/>
    </xf>
    <xf numFmtId="181" fontId="9" fillId="36" borderId="29" xfId="68" applyNumberFormat="1" applyFont="1" applyFill="1" applyBorder="1" applyAlignment="1" applyProtection="1">
      <alignment horizontal="center" vertical="center" wrapText="1"/>
      <protection/>
    </xf>
    <xf numFmtId="181" fontId="9" fillId="36" borderId="11" xfId="68" applyNumberFormat="1" applyFont="1" applyFill="1" applyBorder="1" applyAlignment="1" applyProtection="1">
      <alignment horizontal="center" vertical="center" wrapText="1"/>
      <protection/>
    </xf>
    <xf numFmtId="0" fontId="17" fillId="36" borderId="26" xfId="54" applyFont="1" applyFill="1" applyBorder="1" applyAlignment="1">
      <alignment horizontal="center" vertical="center" wrapText="1"/>
      <protection/>
    </xf>
    <xf numFmtId="0" fontId="17" fillId="36" borderId="27" xfId="54" applyFont="1" applyFill="1" applyBorder="1" applyAlignment="1">
      <alignment horizontal="center" vertical="center" wrapText="1"/>
      <protection/>
    </xf>
    <xf numFmtId="0" fontId="12" fillId="36" borderId="10" xfId="54" applyFont="1" applyFill="1" applyBorder="1" applyAlignment="1">
      <alignment horizontal="center" vertical="center" wrapText="1"/>
      <protection/>
    </xf>
    <xf numFmtId="0" fontId="20" fillId="0" borderId="28" xfId="54" applyFont="1" applyFill="1" applyBorder="1" applyAlignment="1">
      <alignment horizontal="center" vertical="center"/>
      <protection/>
    </xf>
    <xf numFmtId="0" fontId="12" fillId="26" borderId="0" xfId="54" applyFont="1" applyFill="1" applyBorder="1" applyAlignment="1">
      <alignment horizontal="right" vertical="center"/>
      <protection/>
    </xf>
    <xf numFmtId="0" fontId="12" fillId="0" borderId="0" xfId="54" applyFont="1" applyBorder="1" applyAlignment="1">
      <alignment horizontal="center" vertical="center" wrapText="1"/>
      <protection/>
    </xf>
    <xf numFmtId="0" fontId="12" fillId="36" borderId="26" xfId="54" applyFont="1" applyFill="1" applyBorder="1" applyAlignment="1">
      <alignment horizontal="center" vertical="center" wrapText="1"/>
      <protection/>
    </xf>
    <xf numFmtId="0" fontId="12" fillId="36" borderId="31" xfId="54" applyFont="1" applyFill="1" applyBorder="1" applyAlignment="1">
      <alignment horizontal="center" vertical="center" wrapText="1"/>
      <protection/>
    </xf>
    <xf numFmtId="0" fontId="12" fillId="36" borderId="27" xfId="54" applyFont="1" applyFill="1" applyBorder="1" applyAlignment="1">
      <alignment horizontal="center" vertical="center" wrapText="1"/>
      <protection/>
    </xf>
    <xf numFmtId="0" fontId="8" fillId="34" borderId="16" xfId="54" applyNumberFormat="1" applyFont="1" applyFill="1" applyBorder="1" applyAlignment="1" applyProtection="1">
      <alignment horizontal="center" vertical="center" wrapText="1"/>
      <protection/>
    </xf>
    <xf numFmtId="0" fontId="8" fillId="34" borderId="0" xfId="54" applyNumberFormat="1" applyFont="1" applyFill="1" applyBorder="1" applyAlignment="1" applyProtection="1">
      <alignment horizontal="center" vertical="center" wrapText="1"/>
      <protection/>
    </xf>
    <xf numFmtId="0" fontId="8" fillId="0" borderId="32" xfId="54" applyNumberFormat="1" applyFont="1" applyFill="1" applyBorder="1" applyAlignment="1" applyProtection="1">
      <alignment horizontal="center" vertical="center" wrapText="1"/>
      <protection/>
    </xf>
    <xf numFmtId="0" fontId="8" fillId="0" borderId="28" xfId="54" applyNumberFormat="1" applyFont="1" applyFill="1" applyBorder="1" applyAlignment="1" applyProtection="1">
      <alignment horizontal="center" vertical="center" wrapText="1"/>
      <protection/>
    </xf>
    <xf numFmtId="0" fontId="8" fillId="0" borderId="33" xfId="54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top"/>
    </xf>
    <xf numFmtId="0" fontId="9" fillId="38" borderId="10" xfId="0" applyFont="1" applyFill="1" applyBorder="1" applyAlignment="1">
      <alignment horizontal="center" vertical="center" wrapText="1"/>
    </xf>
    <xf numFmtId="0" fontId="24" fillId="38" borderId="1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26" fillId="38" borderId="10" xfId="0" applyFont="1" applyFill="1" applyBorder="1" applyAlignment="1">
      <alignment horizontal="center" vertical="center" wrapText="1"/>
    </xf>
    <xf numFmtId="177" fontId="25" fillId="38" borderId="10" xfId="0" applyNumberFormat="1" applyFont="1" applyFill="1" applyBorder="1" applyAlignment="1">
      <alignment horizontal="center" vertical="center" wrapText="1"/>
    </xf>
    <xf numFmtId="0" fontId="12" fillId="38" borderId="29" xfId="0" applyFont="1" applyFill="1" applyBorder="1" applyAlignment="1">
      <alignment horizontal="center" vertical="center" wrapText="1"/>
    </xf>
    <xf numFmtId="0" fontId="12" fillId="38" borderId="11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/>
    </xf>
    <xf numFmtId="0" fontId="27" fillId="0" borderId="28" xfId="54" applyFont="1" applyFill="1" applyBorder="1" applyAlignment="1">
      <alignment horizontal="center" vertical="center"/>
      <protection/>
    </xf>
    <xf numFmtId="0" fontId="14" fillId="0" borderId="28" xfId="0" applyFont="1" applyFill="1" applyBorder="1" applyAlignment="1">
      <alignment horizont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Regional Data for IGR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Обычный_Расх_все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Экономическая_классиф" xfId="64"/>
    <cellStyle name="Тысячи_Экономическая_классиф" xfId="65"/>
    <cellStyle name="Comma" xfId="66"/>
    <cellStyle name="Comma [0]" xfId="67"/>
    <cellStyle name="Финансовый 2" xfId="68"/>
    <cellStyle name="Хороший" xfId="69"/>
    <cellStyle name="Элементы осей" xfId="70"/>
  </cellStyles>
  <dxfs count="3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BF8FF"/>
      <rgbColor rgb="00FFFFFF"/>
      <rgbColor rgb="00FF0000"/>
      <rgbColor rgb="0000FF00"/>
      <rgbColor rgb="000000FF"/>
      <rgbColor rgb="00FAFFE1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D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EF8FE"/>
      <rgbColor rgb="00EBFFEB"/>
      <rgbColor rgb="00FFFF99"/>
      <rgbColor rgb="00F1F7FD"/>
      <rgbColor rgb="00CC9CCC"/>
      <rgbColor rgb="00CC99FF"/>
      <rgbColor rgb="00E3E3E3"/>
      <rgbColor rgb="003366FF"/>
      <rgbColor rgb="00E3F6F9"/>
      <rgbColor rgb="00339933"/>
      <rgbColor rgb="00999933"/>
      <rgbColor rgb="00996633"/>
      <rgbColor rgb="00FEC2C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T55"/>
  <sheetViews>
    <sheetView showZeros="0" zoomScale="70" zoomScaleNormal="70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J2"/>
    </sheetView>
  </sheetViews>
  <sheetFormatPr defaultColWidth="8.875" defaultRowHeight="12.75"/>
  <cols>
    <col min="1" max="1" width="21.375" style="1" customWidth="1"/>
    <col min="2" max="2" width="12.75390625" style="1" customWidth="1"/>
    <col min="3" max="3" width="14.875" style="1" customWidth="1"/>
    <col min="4" max="4" width="10.75390625" style="1" customWidth="1"/>
    <col min="5" max="5" width="19.25390625" style="1" customWidth="1"/>
    <col min="6" max="6" width="20.25390625" style="1" customWidth="1"/>
    <col min="7" max="8" width="17.875" style="1" customWidth="1"/>
    <col min="9" max="9" width="17.75390625" style="1" customWidth="1"/>
    <col min="10" max="10" width="21.125" style="1" customWidth="1"/>
    <col min="11" max="11" width="15.375" style="1" hidden="1" customWidth="1"/>
    <col min="12" max="12" width="30.25390625" style="1" customWidth="1"/>
    <col min="13" max="13" width="14.875" style="1" customWidth="1"/>
    <col min="14" max="14" width="17.375" style="1" bestFit="1" customWidth="1"/>
    <col min="15" max="15" width="13.00390625" style="1" bestFit="1" customWidth="1"/>
    <col min="16" max="16" width="15.75390625" style="1" bestFit="1" customWidth="1"/>
    <col min="17" max="17" width="13.00390625" style="1" bestFit="1" customWidth="1"/>
    <col min="18" max="16384" width="8.875" style="1" customWidth="1"/>
  </cols>
  <sheetData>
    <row r="1" spans="1:12" ht="15.75">
      <c r="A1" s="19"/>
      <c r="B1" s="19"/>
      <c r="C1" s="19"/>
      <c r="D1" s="19"/>
      <c r="E1" s="19"/>
      <c r="F1" s="19"/>
      <c r="G1" s="19"/>
      <c r="H1" s="19"/>
      <c r="I1" s="19"/>
      <c r="J1" s="20" t="s">
        <v>46</v>
      </c>
      <c r="K1" s="115">
        <v>0.9349</v>
      </c>
      <c r="L1" s="10"/>
    </row>
    <row r="2" spans="1:12" ht="18.75">
      <c r="A2" s="193" t="s">
        <v>131</v>
      </c>
      <c r="B2" s="194"/>
      <c r="C2" s="194"/>
      <c r="D2" s="194"/>
      <c r="E2" s="194"/>
      <c r="F2" s="194"/>
      <c r="G2" s="194"/>
      <c r="H2" s="194"/>
      <c r="I2" s="194"/>
      <c r="J2" s="195"/>
      <c r="K2" s="116">
        <v>2845832</v>
      </c>
      <c r="L2" s="10"/>
    </row>
    <row r="3" spans="1:14" ht="18.75" customHeight="1">
      <c r="A3" s="196" t="s">
        <v>145</v>
      </c>
      <c r="B3" s="197"/>
      <c r="C3" s="197"/>
      <c r="D3" s="197"/>
      <c r="E3" s="197"/>
      <c r="F3" s="197"/>
      <c r="G3" s="197"/>
      <c r="H3" s="197"/>
      <c r="I3" s="197"/>
      <c r="J3" s="198"/>
      <c r="K3" s="73">
        <v>0</v>
      </c>
      <c r="L3" s="10"/>
      <c r="N3" s="12"/>
    </row>
    <row r="4" spans="1:15" ht="36" customHeight="1">
      <c r="A4" s="199" t="s">
        <v>137</v>
      </c>
      <c r="B4" s="200"/>
      <c r="C4" s="200"/>
      <c r="D4" s="200"/>
      <c r="E4" s="200"/>
      <c r="F4" s="200"/>
      <c r="G4" s="200"/>
      <c r="H4" s="200"/>
      <c r="I4" s="200"/>
      <c r="J4" s="201"/>
      <c r="K4" s="117">
        <v>27.4708</v>
      </c>
      <c r="L4" s="10"/>
      <c r="M4" s="72"/>
      <c r="N4" s="21"/>
      <c r="O4" s="22"/>
    </row>
    <row r="5" spans="1:15" ht="15.75">
      <c r="A5" s="159">
        <f>IF(K2=F48,"","Необходим пересчёт сумм! Нажмите на кнопку Расчёт!")</f>
      </c>
      <c r="B5" s="160"/>
      <c r="C5" s="160"/>
      <c r="D5" s="160"/>
      <c r="E5" s="160"/>
      <c r="F5" s="160"/>
      <c r="G5" s="160"/>
      <c r="H5" s="160"/>
      <c r="I5" s="160"/>
      <c r="J5" s="160"/>
      <c r="M5" s="72"/>
      <c r="N5" s="21"/>
      <c r="O5" s="22"/>
    </row>
    <row r="6" spans="1:14" ht="157.5" customHeight="1">
      <c r="A6" s="3" t="s">
        <v>44</v>
      </c>
      <c r="B6" s="3" t="s">
        <v>168</v>
      </c>
      <c r="C6" s="3" t="s">
        <v>148</v>
      </c>
      <c r="D6" s="3" t="s">
        <v>48</v>
      </c>
      <c r="E6" s="3" t="str">
        <f>"Расчётная бюджетная обеспеченность (РБО) 2023,
[2]/[3]/"&amp;ROUND(E48,3)&amp;"/[4]"</f>
        <v>Расчётная бюджетная обеспеченность (РБО) 2023,
[2]/[3]/10,396/[4]</v>
      </c>
      <c r="F6" s="2" t="str">
        <f>"Расчётная сумма дотации на выравнивание БО МР(ГО),
тыс. рублей 
("&amp;K1&amp;"-[5])х"&amp;ROUND(E48,3)&amp;"х[3]х0,8"</f>
        <v>Расчётная сумма дотации на выравнивание БО МР(ГО),
тыс. рублей 
(0,9349-[5])х10,396х[3]х0,8</v>
      </c>
      <c r="G6" s="2" t="s">
        <v>143</v>
      </c>
      <c r="H6" s="2" t="s">
        <v>54</v>
      </c>
      <c r="I6" s="3" t="s">
        <v>55</v>
      </c>
      <c r="J6" s="2" t="str">
        <f>"Итоговый размер дотации на выравнивание БО поселений (внутригородских районов), тыс.рублей
"&amp;K4&amp;"*
([3]-[9])/1000"</f>
        <v>Итоговый размер дотации на выравнивание БО поселений (внутригородских районов), тыс.рублей
27,4708*
([3]-[9])/1000</v>
      </c>
      <c r="K6" s="15"/>
      <c r="N6" s="18"/>
    </row>
    <row r="7" spans="1:12" ht="15.7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47</v>
      </c>
      <c r="G7" s="4" t="s">
        <v>43</v>
      </c>
      <c r="H7" s="4" t="s">
        <v>45</v>
      </c>
      <c r="I7" s="4" t="s">
        <v>51</v>
      </c>
      <c r="J7" s="4" t="s">
        <v>52</v>
      </c>
      <c r="K7" s="15"/>
      <c r="L7" s="15"/>
    </row>
    <row r="8" spans="1:12" ht="15.75">
      <c r="A8" s="1" t="s">
        <v>117</v>
      </c>
      <c r="B8" s="135"/>
      <c r="C8" s="135"/>
      <c r="D8" s="135"/>
      <c r="E8" s="135"/>
      <c r="F8" s="135"/>
      <c r="G8" s="135"/>
      <c r="H8" s="135"/>
      <c r="I8" s="135"/>
      <c r="J8" s="135"/>
      <c r="L8" s="12"/>
    </row>
    <row r="9" spans="1:20" ht="15.75">
      <c r="A9" s="107" t="s">
        <v>0</v>
      </c>
      <c r="B9" s="109">
        <f>'Налог.потенц. 2023-2025'!B8</f>
        <v>15989780.453441212</v>
      </c>
      <c r="C9" s="109">
        <v>1136721</v>
      </c>
      <c r="D9" s="110">
        <f>'Свод индексов'!E10</f>
        <v>0.8991407509153648</v>
      </c>
      <c r="E9" s="111">
        <f>B9/C9/D9/$E$48</f>
        <v>1.5048143725541867</v>
      </c>
      <c r="F9" s="112">
        <f aca="true" t="shared" si="0" ref="F9:F46">ROUND(IF($K$1&gt;E9,($K$1-E9)*(B$48/C$48)*C9*0.8,0)+K$3,0)</f>
        <v>0</v>
      </c>
      <c r="G9" s="112">
        <v>0</v>
      </c>
      <c r="H9" s="6">
        <f>IF(F9&lt;G9,G9,F9)</f>
        <v>0</v>
      </c>
      <c r="I9" s="113"/>
      <c r="J9" s="6">
        <f>ROUND(K$4*(C9-I9)/1000,0)</f>
        <v>31227</v>
      </c>
      <c r="K9" s="130"/>
      <c r="L9" s="23"/>
      <c r="M9" s="5"/>
      <c r="N9" s="145"/>
      <c r="P9" s="122"/>
      <c r="Q9" s="122"/>
      <c r="R9" s="5"/>
      <c r="S9" s="5"/>
      <c r="T9" s="5"/>
    </row>
    <row r="10" spans="1:18" ht="15.75">
      <c r="A10" s="107" t="s">
        <v>1</v>
      </c>
      <c r="B10" s="109">
        <f>'Налог.потенц. 2023-2025'!B9</f>
        <v>6377096.048359808</v>
      </c>
      <c r="C10" s="109">
        <v>685619</v>
      </c>
      <c r="D10" s="110">
        <f>'Свод индексов'!E11</f>
        <v>0.9805280049391485</v>
      </c>
      <c r="E10" s="111">
        <f aca="true" t="shared" si="1" ref="E10:E45">B10/C10/D10/$E$48</f>
        <v>0.9124353573013575</v>
      </c>
      <c r="F10" s="112">
        <f t="shared" si="0"/>
        <v>128100</v>
      </c>
      <c r="G10" s="112">
        <v>0</v>
      </c>
      <c r="H10" s="6">
        <f aca="true" t="shared" si="2" ref="H10:H46">IF(F10&lt;G10,G10,F10)</f>
        <v>128100</v>
      </c>
      <c r="I10" s="113"/>
      <c r="J10" s="6"/>
      <c r="K10" s="5"/>
      <c r="L10" s="23"/>
      <c r="M10" s="5"/>
      <c r="N10" s="145"/>
      <c r="P10" s="122"/>
      <c r="Q10" s="122"/>
      <c r="R10" s="5"/>
    </row>
    <row r="11" spans="1:18" ht="15.75">
      <c r="A11" s="107" t="s">
        <v>2</v>
      </c>
      <c r="B11" s="109">
        <f>'Налог.потенц. 2023-2025'!B10</f>
        <v>1258580.0617761756</v>
      </c>
      <c r="C11" s="109">
        <v>163571</v>
      </c>
      <c r="D11" s="110">
        <f>'Свод индексов'!E12</f>
        <v>1.0707428948226936</v>
      </c>
      <c r="E11" s="111">
        <f t="shared" si="1"/>
        <v>0.6912120995607742</v>
      </c>
      <c r="F11" s="112">
        <f t="shared" si="0"/>
        <v>331519</v>
      </c>
      <c r="G11" s="112">
        <v>0</v>
      </c>
      <c r="H11" s="6">
        <f t="shared" si="2"/>
        <v>331519</v>
      </c>
      <c r="I11" s="113"/>
      <c r="J11" s="6"/>
      <c r="K11" s="11"/>
      <c r="L11" s="13"/>
      <c r="M11" s="5"/>
      <c r="N11" s="145"/>
      <c r="P11" s="122"/>
      <c r="Q11" s="122"/>
      <c r="R11" s="5"/>
    </row>
    <row r="12" spans="1:18" ht="15.75">
      <c r="A12" s="107" t="s">
        <v>11</v>
      </c>
      <c r="B12" s="109">
        <f>'Налог.потенц. 2023-2025'!B11</f>
        <v>1076586.4079419519</v>
      </c>
      <c r="C12" s="109">
        <v>100414</v>
      </c>
      <c r="D12" s="110">
        <f>'Свод индексов'!E13</f>
        <v>1.0708233810272545</v>
      </c>
      <c r="E12" s="111">
        <f t="shared" si="1"/>
        <v>0.9630720386684979</v>
      </c>
      <c r="F12" s="112">
        <f t="shared" si="0"/>
        <v>0</v>
      </c>
      <c r="G12" s="112">
        <v>0</v>
      </c>
      <c r="H12" s="6">
        <f t="shared" si="2"/>
        <v>0</v>
      </c>
      <c r="I12" s="113"/>
      <c r="J12" s="6"/>
      <c r="K12" s="11"/>
      <c r="L12" s="13"/>
      <c r="M12" s="5"/>
      <c r="N12" s="145"/>
      <c r="P12" s="122"/>
      <c r="Q12" s="122"/>
      <c r="R12" s="5"/>
    </row>
    <row r="13" spans="1:18" ht="15.75">
      <c r="A13" s="107" t="s">
        <v>3</v>
      </c>
      <c r="B13" s="109">
        <f>'Налог.потенц. 2023-2025'!B12</f>
        <v>359903.4708063725</v>
      </c>
      <c r="C13" s="109">
        <v>70096</v>
      </c>
      <c r="D13" s="110">
        <f>'Свод индексов'!E14</f>
        <v>1.0951172875400634</v>
      </c>
      <c r="E13" s="111">
        <f t="shared" si="1"/>
        <v>0.45097675631728845</v>
      </c>
      <c r="F13" s="112">
        <f t="shared" si="0"/>
        <v>282122</v>
      </c>
      <c r="G13" s="112">
        <v>119027</v>
      </c>
      <c r="H13" s="6">
        <f>IF(F13&lt;G13,G13,F13)</f>
        <v>282122</v>
      </c>
      <c r="I13" s="113"/>
      <c r="J13" s="6"/>
      <c r="K13" s="11"/>
      <c r="L13" s="13"/>
      <c r="M13" s="5"/>
      <c r="N13" s="145"/>
      <c r="P13" s="122"/>
      <c r="Q13" s="122"/>
      <c r="R13" s="5"/>
    </row>
    <row r="14" spans="1:18" ht="15.75">
      <c r="A14" s="107" t="s">
        <v>4</v>
      </c>
      <c r="B14" s="109">
        <f>'Налог.потенц. 2023-2025'!B13</f>
        <v>403766.4501977052</v>
      </c>
      <c r="C14" s="109">
        <v>46919</v>
      </c>
      <c r="D14" s="110">
        <f>'Свод индексов'!E15</f>
        <v>1.0991956369139344</v>
      </c>
      <c r="E14" s="111">
        <f t="shared" si="1"/>
        <v>0.7530580941864402</v>
      </c>
      <c r="F14" s="112">
        <f t="shared" si="0"/>
        <v>70960</v>
      </c>
      <c r="G14" s="112">
        <v>0</v>
      </c>
      <c r="H14" s="6">
        <f t="shared" si="2"/>
        <v>70960</v>
      </c>
      <c r="I14" s="113"/>
      <c r="J14" s="6"/>
      <c r="K14" s="11"/>
      <c r="L14" s="13"/>
      <c r="M14" s="5"/>
      <c r="N14" s="145"/>
      <c r="P14" s="122"/>
      <c r="Q14" s="122"/>
      <c r="R14" s="5"/>
    </row>
    <row r="15" spans="1:18" ht="15.75">
      <c r="A15" s="107" t="s">
        <v>12</v>
      </c>
      <c r="B15" s="109">
        <f>'Налог.потенц. 2023-2025'!B14</f>
        <v>372982.3812989904</v>
      </c>
      <c r="C15" s="109">
        <v>53795</v>
      </c>
      <c r="D15" s="110">
        <f>'Свод индексов'!E16</f>
        <v>1.0927364527097256</v>
      </c>
      <c r="E15" s="111">
        <f t="shared" si="1"/>
        <v>0.6103134891795825</v>
      </c>
      <c r="F15" s="112">
        <f t="shared" si="0"/>
        <v>145225</v>
      </c>
      <c r="G15" s="112">
        <v>40078</v>
      </c>
      <c r="H15" s="6">
        <f t="shared" si="2"/>
        <v>145225</v>
      </c>
      <c r="I15" s="113"/>
      <c r="J15" s="6"/>
      <c r="K15" s="11"/>
      <c r="L15" s="13"/>
      <c r="M15" s="5"/>
      <c r="N15" s="145"/>
      <c r="P15" s="122"/>
      <c r="Q15" s="122"/>
      <c r="R15" s="5"/>
    </row>
    <row r="16" spans="1:18" ht="15.75">
      <c r="A16" s="107" t="s">
        <v>5</v>
      </c>
      <c r="B16" s="109">
        <f>'Налог.потенц. 2023-2025'!B15</f>
        <v>108365.94366983295</v>
      </c>
      <c r="C16" s="109">
        <v>25221</v>
      </c>
      <c r="D16" s="110">
        <f>'Свод индексов'!E17</f>
        <v>1.0886761943584133</v>
      </c>
      <c r="E16" s="111">
        <f t="shared" si="1"/>
        <v>0.37962410669075575</v>
      </c>
      <c r="F16" s="112">
        <f t="shared" si="0"/>
        <v>116477</v>
      </c>
      <c r="G16" s="112">
        <v>52368</v>
      </c>
      <c r="H16" s="6">
        <f t="shared" si="2"/>
        <v>116477</v>
      </c>
      <c r="I16" s="113"/>
      <c r="J16" s="6"/>
      <c r="K16" s="11"/>
      <c r="L16" s="13"/>
      <c r="M16" s="5"/>
      <c r="N16" s="145"/>
      <c r="P16" s="122"/>
      <c r="Q16" s="122"/>
      <c r="R16" s="5"/>
    </row>
    <row r="17" spans="1:18" ht="15.75">
      <c r="A17" s="107" t="s">
        <v>6</v>
      </c>
      <c r="B17" s="109">
        <f>'Налог.потенц. 2023-2025'!B16</f>
        <v>399030.5825695258</v>
      </c>
      <c r="C17" s="109">
        <v>57998</v>
      </c>
      <c r="D17" s="110">
        <f>'Свод индексов'!E18</f>
        <v>1.1113196297523873</v>
      </c>
      <c r="E17" s="111">
        <f t="shared" si="1"/>
        <v>0.595492331749449</v>
      </c>
      <c r="F17" s="112">
        <f t="shared" si="0"/>
        <v>163720</v>
      </c>
      <c r="G17" s="112">
        <v>36169</v>
      </c>
      <c r="H17" s="6">
        <f t="shared" si="2"/>
        <v>163720</v>
      </c>
      <c r="I17" s="113"/>
      <c r="J17" s="6"/>
      <c r="K17" s="11"/>
      <c r="L17" s="13"/>
      <c r="M17" s="5"/>
      <c r="N17" s="145"/>
      <c r="P17" s="122"/>
      <c r="Q17" s="122"/>
      <c r="R17" s="5"/>
    </row>
    <row r="18" spans="1:18" ht="15.75">
      <c r="A18" s="107" t="s">
        <v>13</v>
      </c>
      <c r="B18" s="109">
        <f>'Налог.потенц. 2023-2025'!B17</f>
        <v>159078.32862835095</v>
      </c>
      <c r="C18" s="109">
        <v>28231</v>
      </c>
      <c r="D18" s="110">
        <f>'Свод индексов'!E19</f>
        <v>1.108899368889381</v>
      </c>
      <c r="E18" s="111">
        <f t="shared" si="1"/>
        <v>0.4887813374309221</v>
      </c>
      <c r="F18" s="112">
        <f t="shared" si="0"/>
        <v>104748</v>
      </c>
      <c r="G18" s="112">
        <v>31754</v>
      </c>
      <c r="H18" s="6">
        <f t="shared" si="2"/>
        <v>104748</v>
      </c>
      <c r="I18" s="113"/>
      <c r="J18" s="6"/>
      <c r="K18" s="11"/>
      <c r="L18" s="13"/>
      <c r="M18" s="5"/>
      <c r="N18" s="145"/>
      <c r="P18" s="122"/>
      <c r="Q18" s="122"/>
      <c r="R18" s="5"/>
    </row>
    <row r="19" spans="1:18" ht="15.75">
      <c r="A19" s="1" t="s">
        <v>101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4"/>
      <c r="L19" s="13"/>
      <c r="M19" s="5"/>
      <c r="N19" s="145"/>
      <c r="P19" s="122"/>
      <c r="Q19" s="122"/>
      <c r="R19" s="5"/>
    </row>
    <row r="20" spans="1:18" ht="15.75">
      <c r="A20" s="107" t="s">
        <v>14</v>
      </c>
      <c r="B20" s="109">
        <f>'Налог.потенц. 2023-2025'!B19</f>
        <v>58472.42990951514</v>
      </c>
      <c r="C20" s="109">
        <v>11198</v>
      </c>
      <c r="D20" s="110">
        <f>'Свод индексов'!E21</f>
        <v>1.1099892617798242</v>
      </c>
      <c r="E20" s="111">
        <f t="shared" si="1"/>
        <v>0.4524951157507737</v>
      </c>
      <c r="F20" s="112">
        <f t="shared" si="0"/>
        <v>44928</v>
      </c>
      <c r="G20" s="112">
        <v>18607</v>
      </c>
      <c r="H20" s="6">
        <f t="shared" si="2"/>
        <v>44928</v>
      </c>
      <c r="I20" s="113"/>
      <c r="J20" s="6">
        <f>ROUND(K$4*(C20-I20)/1000,0)</f>
        <v>308</v>
      </c>
      <c r="K20" s="11"/>
      <c r="L20" s="13"/>
      <c r="M20" s="5"/>
      <c r="N20" s="145"/>
      <c r="P20" s="122"/>
      <c r="Q20" s="122"/>
      <c r="R20" s="5"/>
    </row>
    <row r="21" spans="1:18" ht="15.75">
      <c r="A21" s="107" t="s">
        <v>15</v>
      </c>
      <c r="B21" s="109">
        <f>'Налог.потенц. 2023-2025'!B20</f>
        <v>285599.6011226468</v>
      </c>
      <c r="C21" s="109">
        <v>37466</v>
      </c>
      <c r="D21" s="110">
        <f>'Свод индексов'!E22</f>
        <v>1.0933129621944147</v>
      </c>
      <c r="E21" s="111">
        <f t="shared" si="1"/>
        <v>0.6706528353632547</v>
      </c>
      <c r="F21" s="112">
        <f t="shared" si="0"/>
        <v>82341</v>
      </c>
      <c r="G21" s="112">
        <v>21710</v>
      </c>
      <c r="H21" s="6">
        <f t="shared" si="2"/>
        <v>82341</v>
      </c>
      <c r="I21" s="113"/>
      <c r="J21" s="6">
        <f aca="true" t="shared" si="3" ref="J21:J45">ROUND(K$4*(C21-I21)/1000,0)</f>
        <v>1029</v>
      </c>
      <c r="K21" s="11"/>
      <c r="L21" s="13"/>
      <c r="M21" s="5"/>
      <c r="N21" s="145"/>
      <c r="P21" s="122"/>
      <c r="Q21" s="122"/>
      <c r="R21" s="5"/>
    </row>
    <row r="22" spans="1:18" ht="15.75">
      <c r="A22" s="107" t="s">
        <v>16</v>
      </c>
      <c r="B22" s="109">
        <f>'Налог.потенц. 2023-2025'!B21</f>
        <v>104773.44094564725</v>
      </c>
      <c r="C22" s="109">
        <v>14037</v>
      </c>
      <c r="D22" s="110">
        <f>'Свод индексов'!E23</f>
        <v>1.1039027710099127</v>
      </c>
      <c r="E22" s="111">
        <f t="shared" si="1"/>
        <v>0.6503813483531431</v>
      </c>
      <c r="F22" s="112">
        <f t="shared" si="0"/>
        <v>33216</v>
      </c>
      <c r="G22" s="112">
        <v>6105</v>
      </c>
      <c r="H22" s="6">
        <f t="shared" si="2"/>
        <v>33216</v>
      </c>
      <c r="I22" s="113"/>
      <c r="J22" s="6">
        <f t="shared" si="3"/>
        <v>386</v>
      </c>
      <c r="K22" s="11"/>
      <c r="L22" s="13"/>
      <c r="M22" s="5"/>
      <c r="N22" s="145"/>
      <c r="P22" s="122"/>
      <c r="Q22" s="122"/>
      <c r="R22" s="5"/>
    </row>
    <row r="23" spans="1:18" ht="15.75">
      <c r="A23" s="107" t="s">
        <v>36</v>
      </c>
      <c r="B23" s="109">
        <f>'Налог.потенц. 2023-2025'!B22</f>
        <v>141038.62810214597</v>
      </c>
      <c r="C23" s="109">
        <v>17668</v>
      </c>
      <c r="D23" s="110">
        <f>'Свод индексов'!E24</f>
        <v>1.0974416138234628</v>
      </c>
      <c r="E23" s="111">
        <f t="shared" si="1"/>
        <v>0.6996667804202337</v>
      </c>
      <c r="F23" s="112">
        <f t="shared" si="0"/>
        <v>34566</v>
      </c>
      <c r="G23" s="112">
        <v>8527</v>
      </c>
      <c r="H23" s="6">
        <f t="shared" si="2"/>
        <v>34566</v>
      </c>
      <c r="I23" s="113">
        <v>892</v>
      </c>
      <c r="J23" s="6">
        <f>ROUND(K$4*(C23-I23)/1000,0)</f>
        <v>461</v>
      </c>
      <c r="K23" s="11"/>
      <c r="L23" s="13"/>
      <c r="M23" s="5"/>
      <c r="N23" s="145"/>
      <c r="P23" s="122"/>
      <c r="Q23" s="122"/>
      <c r="R23" s="5"/>
    </row>
    <row r="24" spans="1:18" ht="15.75">
      <c r="A24" s="107" t="s">
        <v>37</v>
      </c>
      <c r="B24" s="109">
        <f>'Налог.потенц. 2023-2025'!B23</f>
        <v>142576.06749155253</v>
      </c>
      <c r="C24" s="109">
        <v>16587</v>
      </c>
      <c r="D24" s="110">
        <f>'Свод индексов'!E25</f>
        <v>1.142104168988529</v>
      </c>
      <c r="E24" s="111">
        <f t="shared" si="1"/>
        <v>0.7239274836100676</v>
      </c>
      <c r="F24" s="112">
        <f t="shared" si="0"/>
        <v>29105</v>
      </c>
      <c r="G24" s="112">
        <v>10736</v>
      </c>
      <c r="H24" s="6">
        <f t="shared" si="2"/>
        <v>29105</v>
      </c>
      <c r="I24" s="113"/>
      <c r="J24" s="6">
        <f t="shared" si="3"/>
        <v>456</v>
      </c>
      <c r="K24" s="11"/>
      <c r="L24" s="13"/>
      <c r="M24" s="5"/>
      <c r="N24" s="145"/>
      <c r="P24" s="122"/>
      <c r="Q24" s="122"/>
      <c r="R24" s="5"/>
    </row>
    <row r="25" spans="1:18" ht="15.75">
      <c r="A25" s="107" t="s">
        <v>7</v>
      </c>
      <c r="B25" s="109">
        <f>'Налог.потенц. 2023-2025'!B24</f>
        <v>111249.85768365621</v>
      </c>
      <c r="C25" s="109">
        <v>22430</v>
      </c>
      <c r="D25" s="110">
        <f>'Свод индексов'!E26</f>
        <v>1.0997911414427424</v>
      </c>
      <c r="E25" s="111">
        <f t="shared" si="1"/>
        <v>0.4337924286309615</v>
      </c>
      <c r="F25" s="112">
        <f t="shared" si="0"/>
        <v>93482</v>
      </c>
      <c r="G25" s="112">
        <v>43164</v>
      </c>
      <c r="H25" s="6">
        <f t="shared" si="2"/>
        <v>93482</v>
      </c>
      <c r="I25" s="113"/>
      <c r="J25" s="6">
        <f t="shared" si="3"/>
        <v>616</v>
      </c>
      <c r="K25" s="11"/>
      <c r="L25" s="13"/>
      <c r="M25" s="5"/>
      <c r="N25" s="145"/>
      <c r="P25" s="122"/>
      <c r="Q25" s="122"/>
      <c r="R25" s="5"/>
    </row>
    <row r="26" spans="1:18" ht="15.75">
      <c r="A26" s="107" t="s">
        <v>8</v>
      </c>
      <c r="B26" s="109">
        <f>'Налог.потенц. 2023-2025'!B25</f>
        <v>1161138.850587827</v>
      </c>
      <c r="C26" s="109">
        <v>128374</v>
      </c>
      <c r="D26" s="110">
        <f>'Свод индексов'!E27</f>
        <v>1.0907236348150509</v>
      </c>
      <c r="E26" s="111">
        <f t="shared" si="1"/>
        <v>0.7976536433279766</v>
      </c>
      <c r="F26" s="112">
        <f t="shared" si="0"/>
        <v>146537</v>
      </c>
      <c r="G26" s="112">
        <v>0</v>
      </c>
      <c r="H26" s="6">
        <f t="shared" si="2"/>
        <v>146537</v>
      </c>
      <c r="I26" s="114">
        <v>3017</v>
      </c>
      <c r="J26" s="6">
        <f t="shared" si="3"/>
        <v>3444</v>
      </c>
      <c r="K26" s="11"/>
      <c r="L26" s="13"/>
      <c r="M26" s="5"/>
      <c r="N26" s="145"/>
      <c r="P26" s="122"/>
      <c r="Q26" s="122"/>
      <c r="R26" s="5"/>
    </row>
    <row r="27" spans="1:18" ht="15.75">
      <c r="A27" s="107" t="s">
        <v>9</v>
      </c>
      <c r="B27" s="109">
        <f>'Налог.потенц. 2023-2025'!B26</f>
        <v>52552.834143142965</v>
      </c>
      <c r="C27" s="109">
        <v>9221</v>
      </c>
      <c r="D27" s="110">
        <f>'Свод индексов'!E28</f>
        <v>1.0928609012961823</v>
      </c>
      <c r="E27" s="111">
        <f t="shared" si="1"/>
        <v>0.5016204412073509</v>
      </c>
      <c r="F27" s="112">
        <f t="shared" si="0"/>
        <v>33229</v>
      </c>
      <c r="G27" s="112">
        <v>12002</v>
      </c>
      <c r="H27" s="6">
        <f t="shared" si="2"/>
        <v>33229</v>
      </c>
      <c r="I27" s="114"/>
      <c r="J27" s="6">
        <f t="shared" si="3"/>
        <v>253</v>
      </c>
      <c r="K27" s="11"/>
      <c r="L27" s="13"/>
      <c r="M27" s="5"/>
      <c r="N27" s="145"/>
      <c r="P27" s="122"/>
      <c r="Q27" s="122"/>
      <c r="R27" s="5"/>
    </row>
    <row r="28" spans="1:18" ht="15.75">
      <c r="A28" s="107" t="s">
        <v>17</v>
      </c>
      <c r="B28" s="109">
        <f>'Налог.потенц. 2023-2025'!B27</f>
        <v>72092.32044818894</v>
      </c>
      <c r="C28" s="109">
        <v>11530</v>
      </c>
      <c r="D28" s="110">
        <f>'Свод индексов'!E29</f>
        <v>1.1105642608170252</v>
      </c>
      <c r="E28" s="111">
        <f t="shared" si="1"/>
        <v>0.5415492992615167</v>
      </c>
      <c r="F28" s="112">
        <f t="shared" si="0"/>
        <v>37720</v>
      </c>
      <c r="G28" s="112">
        <v>15946</v>
      </c>
      <c r="H28" s="6">
        <f t="shared" si="2"/>
        <v>37720</v>
      </c>
      <c r="I28" s="114"/>
      <c r="J28" s="6">
        <f t="shared" si="3"/>
        <v>317</v>
      </c>
      <c r="K28" s="11"/>
      <c r="L28" s="13"/>
      <c r="M28" s="5"/>
      <c r="N28" s="145"/>
      <c r="P28" s="122"/>
      <c r="Q28" s="122"/>
      <c r="R28" s="5"/>
    </row>
    <row r="29" spans="1:18" ht="15.75">
      <c r="A29" s="108" t="s">
        <v>18</v>
      </c>
      <c r="B29" s="109">
        <f>'Налог.потенц. 2023-2025'!B28</f>
        <v>275035.42134353996</v>
      </c>
      <c r="C29" s="109">
        <v>30548</v>
      </c>
      <c r="D29" s="110">
        <f>'Свод индексов'!E30</f>
        <v>1.0776419198277067</v>
      </c>
      <c r="E29" s="111">
        <f t="shared" si="1"/>
        <v>0.8036248634254882</v>
      </c>
      <c r="F29" s="112">
        <f t="shared" si="0"/>
        <v>33353</v>
      </c>
      <c r="G29" s="112">
        <v>1095</v>
      </c>
      <c r="H29" s="6">
        <f t="shared" si="2"/>
        <v>33353</v>
      </c>
      <c r="I29" s="114"/>
      <c r="J29" s="6">
        <f t="shared" si="3"/>
        <v>839</v>
      </c>
      <c r="K29" s="11"/>
      <c r="L29" s="13"/>
      <c r="M29" s="5"/>
      <c r="N29" s="145"/>
      <c r="P29" s="122"/>
      <c r="Q29" s="122"/>
      <c r="R29" s="5"/>
    </row>
    <row r="30" spans="1:18" s="10" customFormat="1" ht="15.75">
      <c r="A30" s="107" t="s">
        <v>19</v>
      </c>
      <c r="B30" s="109">
        <f>'Налог.потенц. 2023-2025'!B29</f>
        <v>282164.4329409917</v>
      </c>
      <c r="C30" s="109">
        <v>41281</v>
      </c>
      <c r="D30" s="110">
        <f>'Свод индексов'!E31</f>
        <v>1.102697129175508</v>
      </c>
      <c r="E30" s="111">
        <f t="shared" si="1"/>
        <v>0.5962354731799784</v>
      </c>
      <c r="F30" s="112">
        <f t="shared" si="0"/>
        <v>116275</v>
      </c>
      <c r="G30" s="112">
        <v>43986</v>
      </c>
      <c r="H30" s="6">
        <f t="shared" si="2"/>
        <v>116275</v>
      </c>
      <c r="I30" s="114"/>
      <c r="J30" s="6">
        <f t="shared" si="3"/>
        <v>1134</v>
      </c>
      <c r="K30" s="11"/>
      <c r="L30" s="13"/>
      <c r="M30" s="5"/>
      <c r="N30" s="145"/>
      <c r="O30" s="1"/>
      <c r="P30" s="122"/>
      <c r="Q30" s="122"/>
      <c r="R30" s="5"/>
    </row>
    <row r="31" spans="1:18" ht="15.75">
      <c r="A31" s="107" t="s">
        <v>20</v>
      </c>
      <c r="B31" s="109">
        <f>'Налог.потенц. 2023-2025'!B30</f>
        <v>78772.37815578078</v>
      </c>
      <c r="C31" s="109">
        <v>13216</v>
      </c>
      <c r="D31" s="110">
        <f>'Свод индексов'!E32</f>
        <v>1.0756608605389124</v>
      </c>
      <c r="E31" s="111">
        <f t="shared" si="1"/>
        <v>0.5329918337070345</v>
      </c>
      <c r="F31" s="112">
        <f t="shared" si="0"/>
        <v>44177</v>
      </c>
      <c r="G31" s="112">
        <v>20307</v>
      </c>
      <c r="H31" s="6">
        <f t="shared" si="2"/>
        <v>44177</v>
      </c>
      <c r="I31" s="114"/>
      <c r="J31" s="6">
        <f t="shared" si="3"/>
        <v>363</v>
      </c>
      <c r="K31" s="11"/>
      <c r="L31" s="13"/>
      <c r="M31" s="5"/>
      <c r="N31" s="145"/>
      <c r="P31" s="122"/>
      <c r="Q31" s="122"/>
      <c r="R31" s="5"/>
    </row>
    <row r="32" spans="1:18" ht="15.75">
      <c r="A32" s="107" t="s">
        <v>21</v>
      </c>
      <c r="B32" s="109">
        <f>'Налог.потенц. 2023-2025'!B31</f>
        <v>153328.64039650402</v>
      </c>
      <c r="C32" s="109">
        <v>20817</v>
      </c>
      <c r="D32" s="110">
        <f>'Свод индексов'!E33</f>
        <v>1.0911730789100031</v>
      </c>
      <c r="E32" s="111">
        <f t="shared" si="1"/>
        <v>0.6492821958946576</v>
      </c>
      <c r="F32" s="112">
        <f t="shared" si="0"/>
        <v>49451</v>
      </c>
      <c r="G32" s="112">
        <v>13071</v>
      </c>
      <c r="H32" s="6">
        <f t="shared" si="2"/>
        <v>49451</v>
      </c>
      <c r="I32" s="114"/>
      <c r="J32" s="6">
        <f t="shared" si="3"/>
        <v>572</v>
      </c>
      <c r="K32" s="11"/>
      <c r="L32" s="13"/>
      <c r="M32" s="5"/>
      <c r="N32" s="145"/>
      <c r="P32" s="122"/>
      <c r="Q32" s="122"/>
      <c r="R32" s="5"/>
    </row>
    <row r="33" spans="1:18" ht="15.75">
      <c r="A33" s="107" t="s">
        <v>22</v>
      </c>
      <c r="B33" s="109">
        <f>'Налог.потенц. 2023-2025'!B32</f>
        <v>134224.4270228829</v>
      </c>
      <c r="C33" s="109">
        <v>15815</v>
      </c>
      <c r="D33" s="110">
        <f>'Свод индексов'!E34</f>
        <v>1.1120188197492324</v>
      </c>
      <c r="E33" s="111">
        <f t="shared" si="1"/>
        <v>0.7341287284395921</v>
      </c>
      <c r="F33" s="112">
        <f t="shared" si="0"/>
        <v>26408</v>
      </c>
      <c r="G33" s="112">
        <v>8514</v>
      </c>
      <c r="H33" s="6">
        <f t="shared" si="2"/>
        <v>26408</v>
      </c>
      <c r="I33" s="114"/>
      <c r="J33" s="6">
        <f t="shared" si="3"/>
        <v>434</v>
      </c>
      <c r="K33" s="11"/>
      <c r="L33" s="13"/>
      <c r="M33" s="5"/>
      <c r="N33" s="145"/>
      <c r="P33" s="122"/>
      <c r="Q33" s="122"/>
      <c r="R33" s="5"/>
    </row>
    <row r="34" spans="1:18" ht="15.75">
      <c r="A34" s="107" t="s">
        <v>23</v>
      </c>
      <c r="B34" s="109">
        <f>'Налог.потенц. 2023-2025'!B33</f>
        <v>529970.3900520152</v>
      </c>
      <c r="C34" s="109">
        <v>56997</v>
      </c>
      <c r="D34" s="110">
        <f>'Свод индексов'!E35</f>
        <v>1.0967276496207883</v>
      </c>
      <c r="E34" s="111">
        <f t="shared" si="1"/>
        <v>0.815497830650072</v>
      </c>
      <c r="F34" s="112">
        <f t="shared" si="0"/>
        <v>56602</v>
      </c>
      <c r="G34" s="112">
        <v>0</v>
      </c>
      <c r="H34" s="6">
        <f t="shared" si="2"/>
        <v>56602</v>
      </c>
      <c r="I34" s="114"/>
      <c r="J34" s="6">
        <f t="shared" si="3"/>
        <v>1566</v>
      </c>
      <c r="K34" s="11"/>
      <c r="L34" s="13"/>
      <c r="M34" s="5"/>
      <c r="N34" s="145"/>
      <c r="P34" s="122"/>
      <c r="Q34" s="122"/>
      <c r="R34" s="5"/>
    </row>
    <row r="35" spans="1:18" ht="15.75">
      <c r="A35" s="107" t="s">
        <v>24</v>
      </c>
      <c r="B35" s="109">
        <f>'Налог.потенц. 2023-2025'!B34</f>
        <v>44549.892594450044</v>
      </c>
      <c r="C35" s="109">
        <v>9912</v>
      </c>
      <c r="D35" s="110">
        <f>'Свод индексов'!E36</f>
        <v>1.0998250369688154</v>
      </c>
      <c r="E35" s="111">
        <f t="shared" si="1"/>
        <v>0.3930825460202298</v>
      </c>
      <c r="F35" s="112">
        <f t="shared" si="0"/>
        <v>44667</v>
      </c>
      <c r="G35" s="112">
        <v>20964</v>
      </c>
      <c r="H35" s="6">
        <f t="shared" si="2"/>
        <v>44667</v>
      </c>
      <c r="I35" s="114"/>
      <c r="J35" s="6">
        <f t="shared" si="3"/>
        <v>272</v>
      </c>
      <c r="K35" s="11"/>
      <c r="L35" s="13"/>
      <c r="M35" s="5"/>
      <c r="N35" s="145"/>
      <c r="P35" s="122"/>
      <c r="Q35" s="122"/>
      <c r="R35" s="5"/>
    </row>
    <row r="36" spans="1:18" ht="15.75">
      <c r="A36" s="107" t="s">
        <v>25</v>
      </c>
      <c r="B36" s="109">
        <f>'Налог.потенц. 2023-2025'!B35</f>
        <v>255552.68458918415</v>
      </c>
      <c r="C36" s="109">
        <v>32597</v>
      </c>
      <c r="D36" s="110">
        <f>'Свод индексов'!E37</f>
        <v>1.0836842258559136</v>
      </c>
      <c r="E36" s="111">
        <f t="shared" si="1"/>
        <v>0.6958602962627444</v>
      </c>
      <c r="F36" s="112">
        <f t="shared" si="0"/>
        <v>64806</v>
      </c>
      <c r="G36" s="112">
        <v>19357</v>
      </c>
      <c r="H36" s="6">
        <f t="shared" si="2"/>
        <v>64806</v>
      </c>
      <c r="I36" s="114"/>
      <c r="J36" s="6">
        <f t="shared" si="3"/>
        <v>895</v>
      </c>
      <c r="K36" s="11"/>
      <c r="L36" s="13"/>
      <c r="M36" s="5"/>
      <c r="N36" s="145"/>
      <c r="P36" s="122"/>
      <c r="Q36" s="122"/>
      <c r="R36" s="5"/>
    </row>
    <row r="37" spans="1:18" ht="15.75">
      <c r="A37" s="107" t="s">
        <v>26</v>
      </c>
      <c r="B37" s="109">
        <f>'Налог.потенц. 2023-2025'!B36</f>
        <v>128924.81679880306</v>
      </c>
      <c r="C37" s="109">
        <v>15576</v>
      </c>
      <c r="D37" s="110">
        <f>'Свод индексов'!E38</f>
        <v>1.0878391233894356</v>
      </c>
      <c r="E37" s="111">
        <f t="shared" si="1"/>
        <v>0.7318766725534024</v>
      </c>
      <c r="F37" s="112">
        <f t="shared" si="0"/>
        <v>26301</v>
      </c>
      <c r="G37" s="112">
        <v>3330</v>
      </c>
      <c r="H37" s="6">
        <f t="shared" si="2"/>
        <v>26301</v>
      </c>
      <c r="I37" s="114">
        <v>1651</v>
      </c>
      <c r="J37" s="6">
        <f t="shared" si="3"/>
        <v>383</v>
      </c>
      <c r="K37" s="11"/>
      <c r="L37" s="13"/>
      <c r="M37" s="5"/>
      <c r="N37" s="145"/>
      <c r="P37" s="122"/>
      <c r="Q37" s="122"/>
      <c r="R37" s="5"/>
    </row>
    <row r="38" spans="1:18" ht="15.75">
      <c r="A38" s="107" t="s">
        <v>27</v>
      </c>
      <c r="B38" s="109">
        <f>'Налог.потенц. 2023-2025'!B37</f>
        <v>105041.15823156176</v>
      </c>
      <c r="C38" s="109">
        <v>25463</v>
      </c>
      <c r="D38" s="110">
        <f>'Свод индексов'!E39</f>
        <v>1.0865645211129564</v>
      </c>
      <c r="E38" s="111">
        <f t="shared" si="1"/>
        <v>0.36518792235415964</v>
      </c>
      <c r="F38" s="112">
        <f t="shared" si="0"/>
        <v>120652</v>
      </c>
      <c r="G38" s="112">
        <v>57150</v>
      </c>
      <c r="H38" s="6">
        <f t="shared" si="2"/>
        <v>120652</v>
      </c>
      <c r="I38" s="114"/>
      <c r="J38" s="6">
        <f t="shared" si="3"/>
        <v>699</v>
      </c>
      <c r="K38" s="11"/>
      <c r="L38" s="13"/>
      <c r="M38" s="5"/>
      <c r="N38" s="145"/>
      <c r="P38" s="122"/>
      <c r="Q38" s="122"/>
      <c r="R38" s="5"/>
    </row>
    <row r="39" spans="1:18" ht="15.75">
      <c r="A39" s="107" t="s">
        <v>28</v>
      </c>
      <c r="B39" s="109">
        <f>'Налог.потенц. 2023-2025'!B38</f>
        <v>129522.42408595954</v>
      </c>
      <c r="C39" s="109">
        <v>22150</v>
      </c>
      <c r="D39" s="110">
        <f>'Свод индексов'!E40</f>
        <v>1.0901066708168887</v>
      </c>
      <c r="E39" s="111">
        <f t="shared" si="1"/>
        <v>0.5159697376401612</v>
      </c>
      <c r="F39" s="112">
        <f t="shared" si="0"/>
        <v>77176</v>
      </c>
      <c r="G39" s="112">
        <v>35381</v>
      </c>
      <c r="H39" s="6">
        <f t="shared" si="2"/>
        <v>77176</v>
      </c>
      <c r="I39" s="114"/>
      <c r="J39" s="6">
        <f t="shared" si="3"/>
        <v>608</v>
      </c>
      <c r="K39" s="11"/>
      <c r="L39" s="13"/>
      <c r="M39" s="5"/>
      <c r="N39" s="145"/>
      <c r="P39" s="122"/>
      <c r="Q39" s="122"/>
      <c r="R39" s="5"/>
    </row>
    <row r="40" spans="1:18" ht="15.75">
      <c r="A40" s="107" t="s">
        <v>29</v>
      </c>
      <c r="B40" s="109">
        <f>'Налог.потенц. 2023-2025'!B39</f>
        <v>390235.9024865454</v>
      </c>
      <c r="C40" s="109">
        <v>43383</v>
      </c>
      <c r="D40" s="110">
        <f>'Свод индексов'!E41</f>
        <v>1.0937845075272175</v>
      </c>
      <c r="E40" s="111">
        <f t="shared" si="1"/>
        <v>0.7910389507257239</v>
      </c>
      <c r="F40" s="112">
        <f t="shared" si="0"/>
        <v>51908</v>
      </c>
      <c r="G40" s="112">
        <v>0</v>
      </c>
      <c r="H40" s="6">
        <f t="shared" si="2"/>
        <v>51908</v>
      </c>
      <c r="I40" s="114"/>
      <c r="J40" s="6">
        <f t="shared" si="3"/>
        <v>1192</v>
      </c>
      <c r="K40" s="11"/>
      <c r="L40" s="13"/>
      <c r="M40" s="5"/>
      <c r="N40" s="145"/>
      <c r="P40" s="122"/>
      <c r="Q40" s="122"/>
      <c r="R40" s="5"/>
    </row>
    <row r="41" spans="1:18" ht="15.75">
      <c r="A41" s="107" t="s">
        <v>30</v>
      </c>
      <c r="B41" s="109">
        <f>'Налог.потенц. 2023-2025'!B40</f>
        <v>846034.9174061624</v>
      </c>
      <c r="C41" s="109">
        <v>81908</v>
      </c>
      <c r="D41" s="110">
        <f>'Свод индексов'!E42</f>
        <v>1.087223171065508</v>
      </c>
      <c r="E41" s="111">
        <f t="shared" si="1"/>
        <v>0.9138296829693546</v>
      </c>
      <c r="F41" s="112">
        <f t="shared" si="0"/>
        <v>14354</v>
      </c>
      <c r="G41" s="112">
        <v>0</v>
      </c>
      <c r="H41" s="6">
        <f t="shared" si="2"/>
        <v>14354</v>
      </c>
      <c r="I41" s="114">
        <f>5025+451</f>
        <v>5476</v>
      </c>
      <c r="J41" s="6">
        <f t="shared" si="3"/>
        <v>2100</v>
      </c>
      <c r="K41" s="11"/>
      <c r="L41" s="13"/>
      <c r="M41" s="5"/>
      <c r="N41" s="145"/>
      <c r="P41" s="122"/>
      <c r="Q41" s="122"/>
      <c r="R41" s="5"/>
    </row>
    <row r="42" spans="1:18" ht="15.75">
      <c r="A42" s="107" t="s">
        <v>31</v>
      </c>
      <c r="B42" s="109">
        <f>'Налог.потенц. 2023-2025'!B41</f>
        <v>160959.61971202193</v>
      </c>
      <c r="C42" s="109">
        <v>22936</v>
      </c>
      <c r="D42" s="110">
        <f>'Свод индексов'!E43</f>
        <v>1.0941666839755497</v>
      </c>
      <c r="E42" s="111">
        <f t="shared" si="1"/>
        <v>0.6169326637973348</v>
      </c>
      <c r="F42" s="112">
        <f t="shared" si="0"/>
        <v>60655</v>
      </c>
      <c r="G42" s="112">
        <v>25558</v>
      </c>
      <c r="H42" s="6">
        <f t="shared" si="2"/>
        <v>60655</v>
      </c>
      <c r="I42" s="114"/>
      <c r="J42" s="6">
        <f t="shared" si="3"/>
        <v>630</v>
      </c>
      <c r="K42" s="11"/>
      <c r="L42" s="13"/>
      <c r="M42" s="5"/>
      <c r="N42" s="145"/>
      <c r="P42" s="122"/>
      <c r="Q42" s="122"/>
      <c r="R42" s="5"/>
    </row>
    <row r="43" spans="1:18" ht="15.75">
      <c r="A43" s="107" t="s">
        <v>32</v>
      </c>
      <c r="B43" s="109">
        <f>'Налог.потенц. 2023-2025'!B42</f>
        <v>88646.20675465201</v>
      </c>
      <c r="C43" s="109">
        <v>15727</v>
      </c>
      <c r="D43" s="110">
        <f>'Свод индексов'!E44</f>
        <v>1.0913894952885286</v>
      </c>
      <c r="E43" s="111">
        <f t="shared" si="1"/>
        <v>0.4967712969558469</v>
      </c>
      <c r="F43" s="112">
        <f t="shared" si="0"/>
        <v>57308</v>
      </c>
      <c r="G43" s="112">
        <v>25711</v>
      </c>
      <c r="H43" s="6">
        <f t="shared" si="2"/>
        <v>57308</v>
      </c>
      <c r="I43" s="114"/>
      <c r="J43" s="6">
        <f t="shared" si="3"/>
        <v>432</v>
      </c>
      <c r="K43" s="11"/>
      <c r="L43" s="13"/>
      <c r="M43" s="5"/>
      <c r="N43" s="145"/>
      <c r="P43" s="122"/>
      <c r="Q43" s="122"/>
      <c r="R43" s="5"/>
    </row>
    <row r="44" spans="1:18" ht="15.75">
      <c r="A44" s="107" t="s">
        <v>33</v>
      </c>
      <c r="B44" s="109">
        <f>'Налог.потенц. 2023-2025'!B43</f>
        <v>71099.04885031699</v>
      </c>
      <c r="C44" s="109">
        <v>13617</v>
      </c>
      <c r="D44" s="110">
        <f>'Свод индексов'!E45</f>
        <v>1.0862858290410753</v>
      </c>
      <c r="E44" s="111">
        <f t="shared" si="1"/>
        <v>0.4623386852558408</v>
      </c>
      <c r="F44" s="112">
        <f t="shared" si="0"/>
        <v>53519</v>
      </c>
      <c r="G44" s="112">
        <v>24071</v>
      </c>
      <c r="H44" s="6">
        <f t="shared" si="2"/>
        <v>53519</v>
      </c>
      <c r="I44" s="114"/>
      <c r="J44" s="6">
        <f t="shared" si="3"/>
        <v>374</v>
      </c>
      <c r="K44" s="11"/>
      <c r="L44" s="13"/>
      <c r="M44" s="5"/>
      <c r="N44" s="145"/>
      <c r="P44" s="122"/>
      <c r="Q44" s="122"/>
      <c r="R44" s="5"/>
    </row>
    <row r="45" spans="1:18" ht="15.75">
      <c r="A45" s="107" t="s">
        <v>34</v>
      </c>
      <c r="B45" s="109">
        <f>'Налог.потенц. 2023-2025'!B44</f>
        <v>73028.82364649532</v>
      </c>
      <c r="C45" s="109">
        <v>14393</v>
      </c>
      <c r="D45" s="110">
        <f>'Свод индексов'!E46</f>
        <v>1.0868203107066359</v>
      </c>
      <c r="E45" s="111">
        <f t="shared" si="1"/>
        <v>0.44906295307813243</v>
      </c>
      <c r="F45" s="112">
        <f t="shared" si="0"/>
        <v>58158</v>
      </c>
      <c r="G45" s="112">
        <v>24610</v>
      </c>
      <c r="H45" s="6">
        <f t="shared" si="2"/>
        <v>58158</v>
      </c>
      <c r="I45" s="114"/>
      <c r="J45" s="6">
        <f t="shared" si="3"/>
        <v>395</v>
      </c>
      <c r="K45" s="11"/>
      <c r="L45" s="13"/>
      <c r="M45" s="5"/>
      <c r="N45" s="145"/>
      <c r="P45" s="122"/>
      <c r="Q45" s="122"/>
      <c r="R45" s="5"/>
    </row>
    <row r="46" spans="1:18" ht="15.75">
      <c r="A46" s="107" t="s">
        <v>10</v>
      </c>
      <c r="B46" s="109">
        <f>'Налог.потенц. 2023-2025'!B45</f>
        <v>176485.50259789266</v>
      </c>
      <c r="C46" s="109">
        <v>18288</v>
      </c>
      <c r="D46" s="110">
        <f>'Свод индексов'!E47</f>
        <v>1.0849554355276696</v>
      </c>
      <c r="E46" s="111">
        <f>B46/C46/D46/$E$48</f>
        <v>0.8555648178721087</v>
      </c>
      <c r="F46" s="112">
        <f t="shared" si="0"/>
        <v>12067</v>
      </c>
      <c r="G46" s="112">
        <v>26319</v>
      </c>
      <c r="H46" s="6">
        <f t="shared" si="2"/>
        <v>26319</v>
      </c>
      <c r="I46" s="114">
        <v>666</v>
      </c>
      <c r="J46" s="6">
        <f>ROUND(K$4*(C46-I46)/1000,0)</f>
        <v>484</v>
      </c>
      <c r="K46" s="11"/>
      <c r="L46" s="13"/>
      <c r="M46" s="5"/>
      <c r="N46" s="145"/>
      <c r="P46" s="122"/>
      <c r="Q46" s="122"/>
      <c r="R46" s="5"/>
    </row>
    <row r="47" spans="2:14" ht="15.75">
      <c r="B47" s="135"/>
      <c r="C47" s="135"/>
      <c r="D47" s="135"/>
      <c r="E47" s="135"/>
      <c r="F47" s="135"/>
      <c r="G47" s="135"/>
      <c r="H47" s="135"/>
      <c r="I47" s="135"/>
      <c r="J47" s="135"/>
      <c r="K47" s="11"/>
      <c r="L47" s="7"/>
      <c r="N47" s="125"/>
    </row>
    <row r="48" spans="1:14" ht="15.75">
      <c r="A48" s="8" t="s">
        <v>35</v>
      </c>
      <c r="B48" s="9">
        <f>SUM(B9:B46)</f>
        <v>32558240.84679001</v>
      </c>
      <c r="C48" s="9">
        <f>SUM(C9:C46)</f>
        <v>3131720</v>
      </c>
      <c r="D48" s="9"/>
      <c r="E48" s="16">
        <f>B48/C48</f>
        <v>10.39628090850715</v>
      </c>
      <c r="F48" s="9">
        <f>SUM(F9:F46)</f>
        <v>2845832</v>
      </c>
      <c r="G48" s="9">
        <f>SUM(G9:G46)</f>
        <v>765617</v>
      </c>
      <c r="H48" s="9">
        <f>SUM(H9:H46)</f>
        <v>2860084</v>
      </c>
      <c r="I48" s="9">
        <f>SUM(I9:I46)</f>
        <v>11702</v>
      </c>
      <c r="J48" s="9">
        <f>SUM(J9:J46)</f>
        <v>51869</v>
      </c>
      <c r="K48" s="14"/>
      <c r="L48" s="17"/>
      <c r="N48" s="125"/>
    </row>
    <row r="49" spans="6:10" ht="15.75">
      <c r="F49" s="5"/>
      <c r="G49" s="5"/>
      <c r="H49" s="5"/>
      <c r="I49" s="12"/>
      <c r="J49" s="5"/>
    </row>
    <row r="50" spans="8:10" ht="15.75">
      <c r="H50" s="133"/>
      <c r="I50" s="134"/>
      <c r="J50" s="5"/>
    </row>
    <row r="51" spans="8:10" ht="15.75">
      <c r="H51" s="5"/>
      <c r="I51" s="11"/>
      <c r="J51" s="5"/>
    </row>
    <row r="55" spans="6:7" ht="15.75">
      <c r="F55" s="5"/>
      <c r="G55" s="5"/>
    </row>
  </sheetData>
  <sheetProtection/>
  <mergeCells count="3">
    <mergeCell ref="A2:J2"/>
    <mergeCell ref="A3:J3"/>
    <mergeCell ref="A4:J4"/>
  </mergeCells>
  <conditionalFormatting sqref="H9:H18 H20:H46">
    <cfRule type="expression" priority="3" dxfId="2">
      <formula>$G9=$H9</formula>
    </cfRule>
  </conditionalFormatting>
  <printOptions gridLines="1" horizontalCentered="1"/>
  <pageMargins left="0.1968503937007874" right="0.15748031496062992" top="0.3937007874015748" bottom="0.31496062992125984" header="0.1968503937007874" footer="0.2362204724409449"/>
  <pageSetup fitToHeight="1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P61"/>
  <sheetViews>
    <sheetView tabSelected="1" zoomScale="70" zoomScaleNormal="70" zoomScaleSheetLayoutView="70" zoomScalePageLayoutView="0" workbookViewId="0" topLeftCell="A13">
      <selection activeCell="A2" sqref="A2:J2"/>
    </sheetView>
  </sheetViews>
  <sheetFormatPr defaultColWidth="9.00390625" defaultRowHeight="12.75"/>
  <cols>
    <col min="1" max="1" width="21.25390625" style="1" customWidth="1"/>
    <col min="2" max="2" width="14.125" style="1" customWidth="1"/>
    <col min="3" max="3" width="14.375" style="1" customWidth="1"/>
    <col min="4" max="4" width="10.75390625" style="1" customWidth="1"/>
    <col min="5" max="5" width="18.75390625" style="1" customWidth="1"/>
    <col min="6" max="6" width="20.375" style="1" customWidth="1"/>
    <col min="7" max="7" width="20.875" style="1" customWidth="1"/>
    <col min="8" max="8" width="24.75390625" style="1" customWidth="1"/>
    <col min="9" max="9" width="14.625" style="1" customWidth="1"/>
    <col min="10" max="10" width="15.00390625" style="1" customWidth="1"/>
    <col min="11" max="11" width="9.375" style="1" hidden="1" customWidth="1"/>
    <col min="12" max="12" width="12.625" style="1" hidden="1" customWidth="1"/>
    <col min="13" max="13" width="11.875" style="1" customWidth="1"/>
  </cols>
  <sheetData>
    <row r="1" spans="1:15" ht="15.75">
      <c r="A1" s="161"/>
      <c r="B1" s="162"/>
      <c r="C1" s="162"/>
      <c r="D1" s="162"/>
      <c r="E1" s="162"/>
      <c r="F1" s="162"/>
      <c r="G1" s="162"/>
      <c r="H1" s="162"/>
      <c r="I1" s="162"/>
      <c r="J1" s="163" t="s">
        <v>167</v>
      </c>
      <c r="K1" s="146">
        <v>0.7133441996760934</v>
      </c>
      <c r="L1" s="147">
        <v>-0.0031350258316009223</v>
      </c>
      <c r="M1" s="146"/>
      <c r="N1" s="158"/>
      <c r="O1" s="158"/>
    </row>
    <row r="2" spans="1:15" ht="15.75">
      <c r="A2" s="203" t="s">
        <v>173</v>
      </c>
      <c r="B2" s="204"/>
      <c r="C2" s="204"/>
      <c r="D2" s="204"/>
      <c r="E2" s="204"/>
      <c r="F2" s="204"/>
      <c r="G2" s="204"/>
      <c r="H2" s="204"/>
      <c r="I2" s="204"/>
      <c r="J2" s="205"/>
      <c r="K2" s="148">
        <v>859701</v>
      </c>
      <c r="M2" s="148"/>
      <c r="N2" s="158"/>
      <c r="O2" s="158"/>
    </row>
    <row r="3" spans="1:15" ht="15.75">
      <c r="A3" s="164">
        <f>IF(K2=ROUND(F49,2),"","Необходим пересчёт сумм! Нажмите на кнопку Расчёт!")</f>
      </c>
      <c r="B3" s="49"/>
      <c r="C3" s="49"/>
      <c r="D3" s="49"/>
      <c r="E3" s="49"/>
      <c r="F3" s="49"/>
      <c r="G3" s="49"/>
      <c r="H3" s="49"/>
      <c r="I3" s="49"/>
      <c r="J3" s="165"/>
      <c r="K3" s="72"/>
      <c r="N3" s="158"/>
      <c r="O3" s="158"/>
    </row>
    <row r="4" spans="1:15" ht="90" customHeight="1">
      <c r="A4" s="206" t="s">
        <v>44</v>
      </c>
      <c r="B4" s="206" t="s">
        <v>172</v>
      </c>
      <c r="C4" s="206" t="s">
        <v>148</v>
      </c>
      <c r="D4" s="206" t="s">
        <v>48</v>
      </c>
      <c r="E4" s="206" t="s">
        <v>174</v>
      </c>
      <c r="F4" s="208" t="str">
        <f>"Сумма дотации на выравнивание БО МР(ГО) на 2024  и 2025 год,
тыс. рублей
("&amp;ROUND(K1,4)&amp;"-[6])х"&amp;ROUND(E49,3)&amp;"х[4]х0,8"</f>
        <v>Сумма дотации на выравнивание БО МР(ГО) на 2024  и 2025 год,
тыс. рублей
(0,7133-[6])х10,396х[4]х0,8</v>
      </c>
      <c r="G4" s="202" t="s">
        <v>175</v>
      </c>
      <c r="H4" s="202" t="s">
        <v>177</v>
      </c>
      <c r="I4" s="202" t="s">
        <v>176</v>
      </c>
      <c r="J4" s="202"/>
      <c r="N4" s="158"/>
      <c r="O4" s="158"/>
    </row>
    <row r="5" spans="1:10" ht="78" customHeight="1">
      <c r="A5" s="207"/>
      <c r="B5" s="207"/>
      <c r="C5" s="207"/>
      <c r="D5" s="207"/>
      <c r="E5" s="207"/>
      <c r="F5" s="209"/>
      <c r="G5" s="202"/>
      <c r="H5" s="202"/>
      <c r="I5" s="3" t="s">
        <v>180</v>
      </c>
      <c r="J5" s="3" t="s">
        <v>179</v>
      </c>
    </row>
    <row r="6" spans="1:10" ht="15.75">
      <c r="A6" s="4" t="s">
        <v>38</v>
      </c>
      <c r="B6" s="4" t="s">
        <v>39</v>
      </c>
      <c r="C6" s="4" t="s">
        <v>40</v>
      </c>
      <c r="D6" s="4" t="s">
        <v>41</v>
      </c>
      <c r="E6" s="4" t="s">
        <v>42</v>
      </c>
      <c r="F6" s="4" t="s">
        <v>47</v>
      </c>
      <c r="G6" s="4" t="s">
        <v>43</v>
      </c>
      <c r="H6" s="4" t="s">
        <v>178</v>
      </c>
      <c r="I6" s="4" t="s">
        <v>51</v>
      </c>
      <c r="J6" s="4" t="s">
        <v>52</v>
      </c>
    </row>
    <row r="7" spans="1:10" ht="15.75">
      <c r="A7" s="166" t="s">
        <v>169</v>
      </c>
      <c r="B7" s="15"/>
      <c r="C7" s="15"/>
      <c r="D7" s="15"/>
      <c r="E7" s="15"/>
      <c r="F7" s="15"/>
      <c r="G7" s="15"/>
      <c r="H7" s="15"/>
      <c r="I7" s="15"/>
      <c r="J7" s="167"/>
    </row>
    <row r="8" spans="1:10" ht="15.75">
      <c r="A8" s="107" t="s">
        <v>0</v>
      </c>
      <c r="B8" s="179">
        <f>'Налог.потенц. 2023-2025'!B8</f>
        <v>15989780.453441212</v>
      </c>
      <c r="C8" s="109">
        <f>'Дотации 2023'!C9</f>
        <v>1136721</v>
      </c>
      <c r="D8" s="110">
        <f>'Дотации 2023'!D9</f>
        <v>0.8991407509153648</v>
      </c>
      <c r="E8" s="111">
        <f aca="true" t="shared" si="0" ref="E8:E17">B8/C8/(B$49/C$49)/D8</f>
        <v>1.5048143725541867</v>
      </c>
      <c r="F8" s="180">
        <f aca="true" t="shared" si="1" ref="F8:F17">IF($K$1&gt;E8,($K$1-E8)*(B$49/C$49)*C8*0.8,0)</f>
        <v>0</v>
      </c>
      <c r="G8" s="112">
        <v>0</v>
      </c>
      <c r="H8" s="112">
        <f aca="true" t="shared" si="2" ref="H8:H13">F8*0.8</f>
        <v>0</v>
      </c>
      <c r="I8" s="6">
        <f aca="true" t="shared" si="3" ref="I8:I17">IF(ROUND(F8*0.8,0)&lt;G8,G8,ROUND(F8*0.8,0))</f>
        <v>0</v>
      </c>
      <c r="J8" s="6">
        <f>ROUND(F8*0.8+L$1,0)</f>
        <v>0</v>
      </c>
    </row>
    <row r="9" spans="1:10" ht="15.75">
      <c r="A9" s="107" t="s">
        <v>1</v>
      </c>
      <c r="B9" s="179">
        <f>'Налог.потенц. 2023-2025'!B9</f>
        <v>6377096.048359808</v>
      </c>
      <c r="C9" s="109">
        <f>'Дотации 2023'!C10</f>
        <v>685619</v>
      </c>
      <c r="D9" s="110">
        <f>'Дотации 2023'!D10</f>
        <v>0.9805280049391485</v>
      </c>
      <c r="E9" s="111">
        <f t="shared" si="0"/>
        <v>0.9124353573013574</v>
      </c>
      <c r="F9" s="180">
        <f t="shared" si="1"/>
        <v>0</v>
      </c>
      <c r="G9" s="112">
        <v>0</v>
      </c>
      <c r="H9" s="112">
        <f t="shared" si="2"/>
        <v>0</v>
      </c>
      <c r="I9" s="6">
        <f t="shared" si="3"/>
        <v>0</v>
      </c>
      <c r="J9" s="6">
        <f aca="true" t="shared" si="4" ref="J9:J45">ROUND(F9*0.8+L$1,0)</f>
        <v>0</v>
      </c>
    </row>
    <row r="10" spans="1:10" ht="15.75">
      <c r="A10" s="107" t="s">
        <v>2</v>
      </c>
      <c r="B10" s="179">
        <f>'Налог.потенц. 2023-2025'!B10</f>
        <v>1258580.0617761756</v>
      </c>
      <c r="C10" s="109">
        <f>'Дотации 2023'!C11</f>
        <v>163571</v>
      </c>
      <c r="D10" s="110">
        <f>'Дотации 2023'!D11</f>
        <v>1.0707428948226936</v>
      </c>
      <c r="E10" s="111">
        <f t="shared" si="0"/>
        <v>0.6912120995607742</v>
      </c>
      <c r="F10" s="180">
        <f t="shared" si="1"/>
        <v>30109.04130904126</v>
      </c>
      <c r="G10" s="112">
        <v>0</v>
      </c>
      <c r="H10" s="112">
        <f>F10*0.8</f>
        <v>24087.233047233007</v>
      </c>
      <c r="I10" s="6">
        <f t="shared" si="3"/>
        <v>24087</v>
      </c>
      <c r="J10" s="6">
        <f t="shared" si="4"/>
        <v>24087</v>
      </c>
    </row>
    <row r="11" spans="1:10" ht="15.75">
      <c r="A11" s="107" t="s">
        <v>11</v>
      </c>
      <c r="B11" s="179">
        <f>'Налог.потенц. 2023-2025'!B11</f>
        <v>1076586.4079419519</v>
      </c>
      <c r="C11" s="109">
        <f>'Дотации 2023'!C12</f>
        <v>100414</v>
      </c>
      <c r="D11" s="110">
        <f>'Дотации 2023'!D12</f>
        <v>1.0708233810272545</v>
      </c>
      <c r="E11" s="111">
        <f t="shared" si="0"/>
        <v>0.9630720386684979</v>
      </c>
      <c r="F11" s="180">
        <f t="shared" si="1"/>
        <v>0</v>
      </c>
      <c r="G11" s="112">
        <v>0</v>
      </c>
      <c r="H11" s="112">
        <f t="shared" si="2"/>
        <v>0</v>
      </c>
      <c r="I11" s="6">
        <f t="shared" si="3"/>
        <v>0</v>
      </c>
      <c r="J11" s="6">
        <f t="shared" si="4"/>
        <v>0</v>
      </c>
    </row>
    <row r="12" spans="1:10" ht="15.75">
      <c r="A12" s="107" t="s">
        <v>3</v>
      </c>
      <c r="B12" s="179">
        <f>'Налог.потенц. 2023-2025'!B12</f>
        <v>359903.4708063725</v>
      </c>
      <c r="C12" s="109">
        <f>'Дотации 2023'!C13</f>
        <v>70096</v>
      </c>
      <c r="D12" s="110">
        <f>'Дотации 2023'!D13</f>
        <v>1.0951172875400634</v>
      </c>
      <c r="E12" s="111">
        <f t="shared" si="0"/>
        <v>0.45097675631728845</v>
      </c>
      <c r="F12" s="180">
        <f t="shared" si="1"/>
        <v>152957.6391600153</v>
      </c>
      <c r="G12" s="112">
        <v>119019</v>
      </c>
      <c r="H12" s="112">
        <f t="shared" si="2"/>
        <v>122366.11132801225</v>
      </c>
      <c r="I12" s="6">
        <f t="shared" si="3"/>
        <v>122366</v>
      </c>
      <c r="J12" s="6">
        <f t="shared" si="4"/>
        <v>122366</v>
      </c>
    </row>
    <row r="13" spans="1:10" ht="15.75">
      <c r="A13" s="107" t="s">
        <v>4</v>
      </c>
      <c r="B13" s="179">
        <f>'Налог.потенц. 2023-2025'!B13</f>
        <v>403766.4501977052</v>
      </c>
      <c r="C13" s="109">
        <f>'Дотации 2023'!C14</f>
        <v>46919</v>
      </c>
      <c r="D13" s="110">
        <f>'Дотации 2023'!D14</f>
        <v>1.0991956369139344</v>
      </c>
      <c r="E13" s="111">
        <f t="shared" si="0"/>
        <v>0.7530580941864402</v>
      </c>
      <c r="F13" s="180">
        <f t="shared" si="1"/>
        <v>0</v>
      </c>
      <c r="G13" s="112">
        <v>0</v>
      </c>
      <c r="H13" s="112">
        <f t="shared" si="2"/>
        <v>0</v>
      </c>
      <c r="I13" s="6">
        <f t="shared" si="3"/>
        <v>0</v>
      </c>
      <c r="J13" s="6">
        <f t="shared" si="4"/>
        <v>0</v>
      </c>
    </row>
    <row r="14" spans="1:10" ht="15.75">
      <c r="A14" s="107" t="s">
        <v>12</v>
      </c>
      <c r="B14" s="179">
        <f>'Налог.потенц. 2023-2025'!B14</f>
        <v>372982.3812989904</v>
      </c>
      <c r="C14" s="109">
        <f>'Дотации 2023'!C15</f>
        <v>53795</v>
      </c>
      <c r="D14" s="110">
        <f>'Дотации 2023'!D15</f>
        <v>1.0927364527097256</v>
      </c>
      <c r="E14" s="111">
        <f t="shared" si="0"/>
        <v>0.6103134891795825</v>
      </c>
      <c r="F14" s="180">
        <f t="shared" si="1"/>
        <v>46097.41787007345</v>
      </c>
      <c r="G14" s="112">
        <v>39565</v>
      </c>
      <c r="H14" s="112">
        <f aca="true" t="shared" si="5" ref="H14:H45">F14*0.8</f>
        <v>36877.93429605876</v>
      </c>
      <c r="I14" s="6">
        <f t="shared" si="3"/>
        <v>39565</v>
      </c>
      <c r="J14" s="6">
        <f t="shared" si="4"/>
        <v>36878</v>
      </c>
    </row>
    <row r="15" spans="1:10" ht="15.75">
      <c r="A15" s="107" t="s">
        <v>5</v>
      </c>
      <c r="B15" s="179">
        <f>'Налог.потенц. 2023-2025'!B15</f>
        <v>108365.94366983295</v>
      </c>
      <c r="C15" s="109">
        <f>'Дотации 2023'!C16</f>
        <v>25221</v>
      </c>
      <c r="D15" s="110">
        <f>'Дотации 2023'!D16</f>
        <v>1.0886761943584133</v>
      </c>
      <c r="E15" s="111">
        <f t="shared" si="0"/>
        <v>0.37962410669075575</v>
      </c>
      <c r="F15" s="180">
        <f t="shared" si="1"/>
        <v>70002.35500638114</v>
      </c>
      <c r="G15" s="112">
        <v>52159</v>
      </c>
      <c r="H15" s="112">
        <f t="shared" si="5"/>
        <v>56001.88400510492</v>
      </c>
      <c r="I15" s="6">
        <f t="shared" si="3"/>
        <v>56002</v>
      </c>
      <c r="J15" s="6">
        <f t="shared" si="4"/>
        <v>56002</v>
      </c>
    </row>
    <row r="16" spans="1:10" ht="15.75">
      <c r="A16" s="107" t="s">
        <v>6</v>
      </c>
      <c r="B16" s="179">
        <f>'Налог.потенц. 2023-2025'!B16</f>
        <v>399030.5825695258</v>
      </c>
      <c r="C16" s="109">
        <f>'Дотации 2023'!C17</f>
        <v>57998</v>
      </c>
      <c r="D16" s="110">
        <f>'Дотации 2023'!D17</f>
        <v>1.1113196297523873</v>
      </c>
      <c r="E16" s="111">
        <f t="shared" si="0"/>
        <v>0.595492331749449</v>
      </c>
      <c r="F16" s="180">
        <f t="shared" si="1"/>
        <v>56848.29982567701</v>
      </c>
      <c r="G16" s="112">
        <v>34802</v>
      </c>
      <c r="H16" s="112">
        <f t="shared" si="5"/>
        <v>45478.63986054161</v>
      </c>
      <c r="I16" s="6">
        <f t="shared" si="3"/>
        <v>45479</v>
      </c>
      <c r="J16" s="6">
        <f t="shared" si="4"/>
        <v>45479</v>
      </c>
    </row>
    <row r="17" spans="1:10" ht="15.75">
      <c r="A17" s="107" t="s">
        <v>13</v>
      </c>
      <c r="B17" s="179">
        <f>'Налог.потенц. 2023-2025'!B17</f>
        <v>159078.32862835095</v>
      </c>
      <c r="C17" s="109">
        <f>'Дотации 2023'!C18</f>
        <v>28231</v>
      </c>
      <c r="D17" s="110">
        <f>'Дотации 2023'!D18</f>
        <v>1.108899368889381</v>
      </c>
      <c r="E17" s="111">
        <f t="shared" si="0"/>
        <v>0.4887813374309221</v>
      </c>
      <c r="F17" s="180">
        <f t="shared" si="1"/>
        <v>52726.89410125153</v>
      </c>
      <c r="G17" s="112">
        <v>31642</v>
      </c>
      <c r="H17" s="112">
        <f t="shared" si="5"/>
        <v>42181.51528100122</v>
      </c>
      <c r="I17" s="6">
        <f t="shared" si="3"/>
        <v>42182</v>
      </c>
      <c r="J17" s="6">
        <f t="shared" si="4"/>
        <v>42182</v>
      </c>
    </row>
    <row r="18" spans="1:10" ht="15.75">
      <c r="A18" s="166" t="s">
        <v>170</v>
      </c>
      <c r="B18" s="168"/>
      <c r="C18" s="152"/>
      <c r="D18" s="88"/>
      <c r="E18" s="103"/>
      <c r="F18" s="150"/>
      <c r="G18" s="151"/>
      <c r="H18" s="151"/>
      <c r="I18" s="151"/>
      <c r="J18" s="169"/>
    </row>
    <row r="19" spans="1:10" ht="15.75">
      <c r="A19" s="107" t="s">
        <v>14</v>
      </c>
      <c r="B19" s="179">
        <f>'Налог.потенц. 2023-2025'!B19</f>
        <v>58472.42990951514</v>
      </c>
      <c r="C19" s="109">
        <f>'Дотации 2023'!C20</f>
        <v>11198</v>
      </c>
      <c r="D19" s="110">
        <f>'Дотации 2023'!D20</f>
        <v>1.1099892617798242</v>
      </c>
      <c r="E19" s="111">
        <f aca="true" t="shared" si="6" ref="E19:E45">B19/C19/(B$49/C$49)/D19</f>
        <v>0.4524951157507738</v>
      </c>
      <c r="F19" s="180">
        <f aca="true" t="shared" si="7" ref="F19:F45">IF($K$1&gt;E19,($K$1-E19)*(B$49/C$49)*C19*0.8,0)</f>
        <v>24293.929770318897</v>
      </c>
      <c r="G19" s="112">
        <v>18759</v>
      </c>
      <c r="H19" s="112">
        <f t="shared" si="5"/>
        <v>19435.143816255117</v>
      </c>
      <c r="I19" s="6">
        <f aca="true" t="shared" si="8" ref="I19:I45">IF(ROUND(F19*0.8,0)&lt;G19,G19,ROUND(F19*0.8,0))</f>
        <v>19435</v>
      </c>
      <c r="J19" s="6">
        <f t="shared" si="4"/>
        <v>19435</v>
      </c>
    </row>
    <row r="20" spans="1:10" ht="15.75">
      <c r="A20" s="107" t="s">
        <v>15</v>
      </c>
      <c r="B20" s="179">
        <f>'Налог.потенц. 2023-2025'!B20</f>
        <v>285599.6011226468</v>
      </c>
      <c r="C20" s="109">
        <f>'Дотации 2023'!C21</f>
        <v>37466</v>
      </c>
      <c r="D20" s="110">
        <f>'Дотации 2023'!D21</f>
        <v>1.0933129621944147</v>
      </c>
      <c r="E20" s="111">
        <f t="shared" si="6"/>
        <v>0.6706528353632547</v>
      </c>
      <c r="F20" s="180">
        <f t="shared" si="7"/>
        <v>13302.870258401885</v>
      </c>
      <c r="G20" s="112">
        <v>7548</v>
      </c>
      <c r="H20" s="112">
        <f t="shared" si="5"/>
        <v>10642.296206721508</v>
      </c>
      <c r="I20" s="6">
        <f t="shared" si="8"/>
        <v>10642</v>
      </c>
      <c r="J20" s="6">
        <f t="shared" si="4"/>
        <v>10642</v>
      </c>
    </row>
    <row r="21" spans="1:10" ht="15.75">
      <c r="A21" s="107" t="s">
        <v>16</v>
      </c>
      <c r="B21" s="179">
        <f>'Налог.потенц. 2023-2025'!B21</f>
        <v>104773.44094564725</v>
      </c>
      <c r="C21" s="109">
        <f>'Дотации 2023'!C22</f>
        <v>14037</v>
      </c>
      <c r="D21" s="110">
        <f>'Дотации 2023'!D22</f>
        <v>1.1039027710099127</v>
      </c>
      <c r="E21" s="111">
        <f t="shared" si="6"/>
        <v>0.6503813483531431</v>
      </c>
      <c r="F21" s="180">
        <f t="shared" si="7"/>
        <v>7350.665831403338</v>
      </c>
      <c r="G21" s="112">
        <v>6142</v>
      </c>
      <c r="H21" s="112">
        <f t="shared" si="5"/>
        <v>5880.5326651226715</v>
      </c>
      <c r="I21" s="6">
        <f t="shared" si="8"/>
        <v>6142</v>
      </c>
      <c r="J21" s="6">
        <f t="shared" si="4"/>
        <v>5881</v>
      </c>
    </row>
    <row r="22" spans="1:10" ht="15.75">
      <c r="A22" s="107" t="s">
        <v>36</v>
      </c>
      <c r="B22" s="179">
        <f>'Налог.потенц. 2023-2025'!B22</f>
        <v>141038.62810214597</v>
      </c>
      <c r="C22" s="109">
        <f>'Дотации 2023'!C23</f>
        <v>17668</v>
      </c>
      <c r="D22" s="110">
        <f>'Дотации 2023'!D23</f>
        <v>1.0974416138234628</v>
      </c>
      <c r="E22" s="111">
        <f t="shared" si="6"/>
        <v>0.6996667804202337</v>
      </c>
      <c r="F22" s="180">
        <f t="shared" si="7"/>
        <v>2009.8310105599774</v>
      </c>
      <c r="G22" s="112">
        <v>5239</v>
      </c>
      <c r="H22" s="112">
        <f t="shared" si="5"/>
        <v>1607.8648084479819</v>
      </c>
      <c r="I22" s="6">
        <f t="shared" si="8"/>
        <v>5239</v>
      </c>
      <c r="J22" s="6">
        <f t="shared" si="4"/>
        <v>1608</v>
      </c>
    </row>
    <row r="23" spans="1:10" ht="15.75">
      <c r="A23" s="107" t="s">
        <v>37</v>
      </c>
      <c r="B23" s="179">
        <f>'Налог.потенц. 2023-2025'!B23</f>
        <v>142576.06749155253</v>
      </c>
      <c r="C23" s="109">
        <f>'Дотации 2023'!C24</f>
        <v>16587</v>
      </c>
      <c r="D23" s="110">
        <f>'Дотации 2023'!D24</f>
        <v>1.142104168988529</v>
      </c>
      <c r="E23" s="111">
        <f t="shared" si="6"/>
        <v>0.7239274836100676</v>
      </c>
      <c r="F23" s="180">
        <f t="shared" si="7"/>
        <v>0</v>
      </c>
      <c r="G23" s="112">
        <v>10669</v>
      </c>
      <c r="H23" s="112">
        <f t="shared" si="5"/>
        <v>0</v>
      </c>
      <c r="I23" s="6">
        <f t="shared" si="8"/>
        <v>10669</v>
      </c>
      <c r="J23" s="6">
        <f t="shared" si="4"/>
        <v>0</v>
      </c>
    </row>
    <row r="24" spans="1:10" ht="15.75">
      <c r="A24" s="107" t="s">
        <v>7</v>
      </c>
      <c r="B24" s="179">
        <f>'Налог.потенц. 2023-2025'!B24</f>
        <v>111249.85768365621</v>
      </c>
      <c r="C24" s="109">
        <f>'Дотации 2023'!C25</f>
        <v>22430</v>
      </c>
      <c r="D24" s="110">
        <f>'Дотации 2023'!D25</f>
        <v>1.0997911414427424</v>
      </c>
      <c r="E24" s="111">
        <f t="shared" si="6"/>
        <v>0.4337924286309615</v>
      </c>
      <c r="F24" s="180">
        <f t="shared" si="7"/>
        <v>52150.62459515127</v>
      </c>
      <c r="G24" s="112">
        <v>43357</v>
      </c>
      <c r="H24" s="112">
        <f t="shared" si="5"/>
        <v>41720.49967612102</v>
      </c>
      <c r="I24" s="6">
        <f t="shared" si="8"/>
        <v>43357</v>
      </c>
      <c r="J24" s="6">
        <f t="shared" si="4"/>
        <v>41720</v>
      </c>
    </row>
    <row r="25" spans="1:10" ht="15.75">
      <c r="A25" s="107" t="s">
        <v>8</v>
      </c>
      <c r="B25" s="179">
        <f>'Налог.потенц. 2023-2025'!B25</f>
        <v>1161138.850587827</v>
      </c>
      <c r="C25" s="109">
        <f>'Дотации 2023'!C26</f>
        <v>128374</v>
      </c>
      <c r="D25" s="110">
        <f>'Дотации 2023'!D26</f>
        <v>1.0907236348150509</v>
      </c>
      <c r="E25" s="111">
        <f t="shared" si="6"/>
        <v>0.7976536433279766</v>
      </c>
      <c r="F25" s="180">
        <f t="shared" si="7"/>
        <v>0</v>
      </c>
      <c r="G25" s="112">
        <v>0</v>
      </c>
      <c r="H25" s="112">
        <f t="shared" si="5"/>
        <v>0</v>
      </c>
      <c r="I25" s="6">
        <f t="shared" si="8"/>
        <v>0</v>
      </c>
      <c r="J25" s="6">
        <f t="shared" si="4"/>
        <v>0</v>
      </c>
    </row>
    <row r="26" spans="1:10" ht="15.75">
      <c r="A26" s="107" t="s">
        <v>9</v>
      </c>
      <c r="B26" s="179">
        <f>'Налог.потенц. 2023-2025'!B26</f>
        <v>52552.834143142965</v>
      </c>
      <c r="C26" s="109">
        <f>'Дотации 2023'!C27</f>
        <v>9221</v>
      </c>
      <c r="D26" s="110">
        <f>'Дотации 2023'!D27</f>
        <v>1.0928609012961823</v>
      </c>
      <c r="E26" s="111">
        <f t="shared" si="6"/>
        <v>0.5016204412073509</v>
      </c>
      <c r="F26" s="180">
        <f t="shared" si="7"/>
        <v>16237.367103241486</v>
      </c>
      <c r="G26" s="112">
        <v>11875</v>
      </c>
      <c r="H26" s="112">
        <f t="shared" si="5"/>
        <v>12989.893682593189</v>
      </c>
      <c r="I26" s="6">
        <f t="shared" si="8"/>
        <v>12990</v>
      </c>
      <c r="J26" s="6">
        <f t="shared" si="4"/>
        <v>12990</v>
      </c>
    </row>
    <row r="27" spans="1:10" ht="15.75">
      <c r="A27" s="107" t="s">
        <v>17</v>
      </c>
      <c r="B27" s="179">
        <f>'Налог.потенц. 2023-2025'!B27</f>
        <v>72092.32044818894</v>
      </c>
      <c r="C27" s="109">
        <f>'Дотации 2023'!C28</f>
        <v>11530</v>
      </c>
      <c r="D27" s="110">
        <f>'Дотации 2023'!D28</f>
        <v>1.1105642608170252</v>
      </c>
      <c r="E27" s="111">
        <f t="shared" si="6"/>
        <v>0.5415492992615167</v>
      </c>
      <c r="F27" s="180">
        <f t="shared" si="7"/>
        <v>16474.322671942962</v>
      </c>
      <c r="G27" s="112">
        <v>16138</v>
      </c>
      <c r="H27" s="112">
        <f t="shared" si="5"/>
        <v>13179.458137554371</v>
      </c>
      <c r="I27" s="6">
        <f t="shared" si="8"/>
        <v>16138</v>
      </c>
      <c r="J27" s="6">
        <f t="shared" si="4"/>
        <v>13179</v>
      </c>
    </row>
    <row r="28" spans="1:10" ht="15.75">
      <c r="A28" s="108" t="s">
        <v>18</v>
      </c>
      <c r="B28" s="179">
        <f>'Налог.потенц. 2023-2025'!B28</f>
        <v>275035.42134353996</v>
      </c>
      <c r="C28" s="109">
        <f>'Дотации 2023'!C29</f>
        <v>30548</v>
      </c>
      <c r="D28" s="110">
        <f>'Дотации 2023'!D29</f>
        <v>1.0776419198277067</v>
      </c>
      <c r="E28" s="111">
        <f t="shared" si="6"/>
        <v>0.8036248634254882</v>
      </c>
      <c r="F28" s="180">
        <f t="shared" si="7"/>
        <v>0</v>
      </c>
      <c r="G28" s="112">
        <v>0</v>
      </c>
      <c r="H28" s="112">
        <f t="shared" si="5"/>
        <v>0</v>
      </c>
      <c r="I28" s="6">
        <f t="shared" si="8"/>
        <v>0</v>
      </c>
      <c r="J28" s="6">
        <f t="shared" si="4"/>
        <v>0</v>
      </c>
    </row>
    <row r="29" spans="1:13" ht="15.75">
      <c r="A29" s="107" t="s">
        <v>19</v>
      </c>
      <c r="B29" s="179">
        <f>'Налог.потенц. 2023-2025'!B29</f>
        <v>282164.4329409917</v>
      </c>
      <c r="C29" s="109">
        <f>'Дотации 2023'!C30</f>
        <v>41281</v>
      </c>
      <c r="D29" s="110">
        <f>'Дотации 2023'!D30</f>
        <v>1.102697129175508</v>
      </c>
      <c r="E29" s="111">
        <f t="shared" si="6"/>
        <v>0.5962354731799785</v>
      </c>
      <c r="F29" s="180">
        <f t="shared" si="7"/>
        <v>40207.53605860157</v>
      </c>
      <c r="G29" s="112">
        <v>37049</v>
      </c>
      <c r="H29" s="112">
        <f t="shared" si="5"/>
        <v>32166.028846881254</v>
      </c>
      <c r="I29" s="6">
        <f t="shared" si="8"/>
        <v>37049</v>
      </c>
      <c r="J29" s="6">
        <f t="shared" si="4"/>
        <v>32166</v>
      </c>
      <c r="K29" s="10"/>
      <c r="L29" s="10"/>
      <c r="M29" s="10"/>
    </row>
    <row r="30" spans="1:10" ht="15.75">
      <c r="A30" s="107" t="s">
        <v>20</v>
      </c>
      <c r="B30" s="179">
        <f>'Налог.потенц. 2023-2025'!B30</f>
        <v>78772.37815578078</v>
      </c>
      <c r="C30" s="109">
        <f>'Дотации 2023'!C31</f>
        <v>13216</v>
      </c>
      <c r="D30" s="110">
        <f>'Дотации 2023'!D31</f>
        <v>1.0756608605389124</v>
      </c>
      <c r="E30" s="111">
        <f t="shared" si="6"/>
        <v>0.5329918337070345</v>
      </c>
      <c r="F30" s="180">
        <f t="shared" si="7"/>
        <v>19823.935073790864</v>
      </c>
      <c r="G30" s="112">
        <v>18858</v>
      </c>
      <c r="H30" s="112">
        <f t="shared" si="5"/>
        <v>15859.148059032692</v>
      </c>
      <c r="I30" s="6">
        <f t="shared" si="8"/>
        <v>18858</v>
      </c>
      <c r="J30" s="6">
        <f t="shared" si="4"/>
        <v>15859</v>
      </c>
    </row>
    <row r="31" spans="1:10" ht="15.75">
      <c r="A31" s="107" t="s">
        <v>21</v>
      </c>
      <c r="B31" s="179">
        <f>'Налог.потенц. 2023-2025'!B31</f>
        <v>153328.64039650402</v>
      </c>
      <c r="C31" s="109">
        <f>'Дотации 2023'!C32</f>
        <v>20817</v>
      </c>
      <c r="D31" s="110">
        <f>'Дотации 2023'!D32</f>
        <v>1.0911730789100031</v>
      </c>
      <c r="E31" s="111">
        <f t="shared" si="6"/>
        <v>0.6492821958946576</v>
      </c>
      <c r="F31" s="180">
        <f t="shared" si="7"/>
        <v>11091.407295159079</v>
      </c>
      <c r="G31" s="112">
        <v>10203</v>
      </c>
      <c r="H31" s="112">
        <f t="shared" si="5"/>
        <v>8873.125836127263</v>
      </c>
      <c r="I31" s="6">
        <f t="shared" si="8"/>
        <v>10203</v>
      </c>
      <c r="J31" s="6">
        <f t="shared" si="4"/>
        <v>8873</v>
      </c>
    </row>
    <row r="32" spans="1:10" ht="15.75">
      <c r="A32" s="107" t="s">
        <v>22</v>
      </c>
      <c r="B32" s="179">
        <f>'Налог.потенц. 2023-2025'!B32</f>
        <v>134224.4270228829</v>
      </c>
      <c r="C32" s="109">
        <f>'Дотации 2023'!C33</f>
        <v>15815</v>
      </c>
      <c r="D32" s="110">
        <f>'Дотации 2023'!D33</f>
        <v>1.1120188197492324</v>
      </c>
      <c r="E32" s="111">
        <f t="shared" si="6"/>
        <v>0.7341287284395921</v>
      </c>
      <c r="F32" s="180">
        <f t="shared" si="7"/>
        <v>0</v>
      </c>
      <c r="G32" s="112">
        <v>7808</v>
      </c>
      <c r="H32" s="112">
        <f t="shared" si="5"/>
        <v>0</v>
      </c>
      <c r="I32" s="6">
        <f t="shared" si="8"/>
        <v>7808</v>
      </c>
      <c r="J32" s="6">
        <f t="shared" si="4"/>
        <v>0</v>
      </c>
    </row>
    <row r="33" spans="1:10" ht="15.75">
      <c r="A33" s="107" t="s">
        <v>23</v>
      </c>
      <c r="B33" s="179">
        <f>'Налог.потенц. 2023-2025'!B33</f>
        <v>529970.3900520152</v>
      </c>
      <c r="C33" s="109">
        <f>'Дотации 2023'!C34</f>
        <v>56997</v>
      </c>
      <c r="D33" s="110">
        <f>'Дотации 2023'!D34</f>
        <v>1.0967276496207883</v>
      </c>
      <c r="E33" s="111">
        <f t="shared" si="6"/>
        <v>0.815497830650072</v>
      </c>
      <c r="F33" s="180">
        <f t="shared" si="7"/>
        <v>0</v>
      </c>
      <c r="G33" s="112">
        <v>0</v>
      </c>
      <c r="H33" s="112">
        <f t="shared" si="5"/>
        <v>0</v>
      </c>
      <c r="I33" s="6">
        <f t="shared" si="8"/>
        <v>0</v>
      </c>
      <c r="J33" s="6">
        <f t="shared" si="4"/>
        <v>0</v>
      </c>
    </row>
    <row r="34" spans="1:10" ht="15.75">
      <c r="A34" s="107" t="s">
        <v>24</v>
      </c>
      <c r="B34" s="179">
        <f>'Налог.потенц. 2023-2025'!B34</f>
        <v>44549.892594450044</v>
      </c>
      <c r="C34" s="109">
        <f>'Дотации 2023'!C35</f>
        <v>9912</v>
      </c>
      <c r="D34" s="110">
        <f>'Дотации 2023'!D35</f>
        <v>1.0998250369688154</v>
      </c>
      <c r="E34" s="111">
        <f t="shared" si="6"/>
        <v>0.39308254602022985</v>
      </c>
      <c r="F34" s="180">
        <f t="shared" si="7"/>
        <v>26401.842004894763</v>
      </c>
      <c r="G34" s="112">
        <v>20774</v>
      </c>
      <c r="H34" s="112">
        <f t="shared" si="5"/>
        <v>21121.473603915812</v>
      </c>
      <c r="I34" s="6">
        <f t="shared" si="8"/>
        <v>21121</v>
      </c>
      <c r="J34" s="6">
        <f t="shared" si="4"/>
        <v>21121</v>
      </c>
    </row>
    <row r="35" spans="1:10" ht="15.75">
      <c r="A35" s="107" t="s">
        <v>25</v>
      </c>
      <c r="B35" s="179">
        <f>'Налог.потенц. 2023-2025'!B35</f>
        <v>255552.68458918415</v>
      </c>
      <c r="C35" s="109">
        <f>'Дотации 2023'!C36</f>
        <v>32597</v>
      </c>
      <c r="D35" s="110">
        <f>'Дотации 2023'!D36</f>
        <v>1.0836842258559136</v>
      </c>
      <c r="E35" s="111">
        <f t="shared" si="6"/>
        <v>0.6958602962627444</v>
      </c>
      <c r="F35" s="180">
        <f t="shared" si="7"/>
        <v>4740.062016351937</v>
      </c>
      <c r="G35" s="112">
        <v>6476</v>
      </c>
      <c r="H35" s="112">
        <f t="shared" si="5"/>
        <v>3792.04961308155</v>
      </c>
      <c r="I35" s="6">
        <f t="shared" si="8"/>
        <v>6476</v>
      </c>
      <c r="J35" s="6">
        <f t="shared" si="4"/>
        <v>3792</v>
      </c>
    </row>
    <row r="36" spans="1:10" ht="15.75">
      <c r="A36" s="107" t="s">
        <v>26</v>
      </c>
      <c r="B36" s="179">
        <f>'Налог.потенц. 2023-2025'!B36</f>
        <v>128924.81679880306</v>
      </c>
      <c r="C36" s="109">
        <f>'Дотации 2023'!C37</f>
        <v>15576</v>
      </c>
      <c r="D36" s="110">
        <f>'Дотации 2023'!D37</f>
        <v>1.0878391233894356</v>
      </c>
      <c r="E36" s="111">
        <f t="shared" si="6"/>
        <v>0.7318766725534024</v>
      </c>
      <c r="F36" s="180">
        <f t="shared" si="7"/>
        <v>0</v>
      </c>
      <c r="G36" s="112">
        <v>0</v>
      </c>
      <c r="H36" s="112">
        <f t="shared" si="5"/>
        <v>0</v>
      </c>
      <c r="I36" s="6">
        <f t="shared" si="8"/>
        <v>0</v>
      </c>
      <c r="J36" s="6">
        <f t="shared" si="4"/>
        <v>0</v>
      </c>
    </row>
    <row r="37" spans="1:10" ht="15.75">
      <c r="A37" s="107" t="s">
        <v>27</v>
      </c>
      <c r="B37" s="179">
        <f>'Налог.потенц. 2023-2025'!B37</f>
        <v>105041.15823156176</v>
      </c>
      <c r="C37" s="109">
        <f>'Дотации 2023'!C38</f>
        <v>25463</v>
      </c>
      <c r="D37" s="110">
        <f>'Дотации 2023'!D38</f>
        <v>1.0865645211129564</v>
      </c>
      <c r="E37" s="111">
        <f t="shared" si="6"/>
        <v>0.36518792235415964</v>
      </c>
      <c r="F37" s="180">
        <f t="shared" si="7"/>
        <v>73731.28326402906</v>
      </c>
      <c r="G37" s="112">
        <v>57636</v>
      </c>
      <c r="H37" s="112">
        <f t="shared" si="5"/>
        <v>58985.02661122325</v>
      </c>
      <c r="I37" s="6">
        <f t="shared" si="8"/>
        <v>58985</v>
      </c>
      <c r="J37" s="6">
        <f t="shared" si="4"/>
        <v>58985</v>
      </c>
    </row>
    <row r="38" spans="1:10" ht="15.75">
      <c r="A38" s="107" t="s">
        <v>28</v>
      </c>
      <c r="B38" s="179">
        <f>'Налог.потенц. 2023-2025'!B38</f>
        <v>129522.42408595954</v>
      </c>
      <c r="C38" s="109">
        <f>'Дотации 2023'!C39</f>
        <v>22150</v>
      </c>
      <c r="D38" s="110">
        <f>'Дотации 2023'!D39</f>
        <v>1.0901066708168887</v>
      </c>
      <c r="E38" s="111">
        <f t="shared" si="6"/>
        <v>0.5159697376401612</v>
      </c>
      <c r="F38" s="180">
        <f t="shared" si="7"/>
        <v>36360.73742842108</v>
      </c>
      <c r="G38" s="112">
        <v>31784</v>
      </c>
      <c r="H38" s="112">
        <f t="shared" si="5"/>
        <v>29088.589942736868</v>
      </c>
      <c r="I38" s="6">
        <f t="shared" si="8"/>
        <v>31784</v>
      </c>
      <c r="J38" s="6">
        <f t="shared" si="4"/>
        <v>29089</v>
      </c>
    </row>
    <row r="39" spans="1:10" ht="15.75">
      <c r="A39" s="107" t="s">
        <v>29</v>
      </c>
      <c r="B39" s="179">
        <f>'Налог.потенц. 2023-2025'!B39</f>
        <v>390235.9024865454</v>
      </c>
      <c r="C39" s="109">
        <f>'Дотации 2023'!C40</f>
        <v>43383</v>
      </c>
      <c r="D39" s="110">
        <f>'Дотации 2023'!D40</f>
        <v>1.0937845075272175</v>
      </c>
      <c r="E39" s="111">
        <f t="shared" si="6"/>
        <v>0.7910389507257239</v>
      </c>
      <c r="F39" s="180">
        <f t="shared" si="7"/>
        <v>0</v>
      </c>
      <c r="G39" s="112">
        <v>0</v>
      </c>
      <c r="H39" s="112">
        <f t="shared" si="5"/>
        <v>0</v>
      </c>
      <c r="I39" s="6">
        <f t="shared" si="8"/>
        <v>0</v>
      </c>
      <c r="J39" s="6">
        <f t="shared" si="4"/>
        <v>0</v>
      </c>
    </row>
    <row r="40" spans="1:16" ht="15.75">
      <c r="A40" s="107" t="s">
        <v>30</v>
      </c>
      <c r="B40" s="179">
        <f>'Налог.потенц. 2023-2025'!B40</f>
        <v>846034.9174061624</v>
      </c>
      <c r="C40" s="109">
        <f>'Дотации 2023'!C41</f>
        <v>81908</v>
      </c>
      <c r="D40" s="110">
        <f>'Дотации 2023'!D41</f>
        <v>1.087223171065508</v>
      </c>
      <c r="E40" s="111">
        <f t="shared" si="6"/>
        <v>0.9138296829693546</v>
      </c>
      <c r="F40" s="180">
        <f t="shared" si="7"/>
        <v>0</v>
      </c>
      <c r="G40" s="112">
        <v>0</v>
      </c>
      <c r="H40" s="112">
        <f t="shared" si="5"/>
        <v>0</v>
      </c>
      <c r="I40" s="6">
        <f t="shared" si="8"/>
        <v>0</v>
      </c>
      <c r="J40" s="6">
        <f t="shared" si="4"/>
        <v>0</v>
      </c>
      <c r="L40" s="10"/>
      <c r="M40" s="10"/>
      <c r="N40" s="158"/>
      <c r="O40" s="158"/>
      <c r="P40" s="158"/>
    </row>
    <row r="41" spans="1:16" ht="15.75">
      <c r="A41" s="107" t="s">
        <v>31</v>
      </c>
      <c r="B41" s="179">
        <f>'Налог.потенц. 2023-2025'!B41</f>
        <v>160959.61971202193</v>
      </c>
      <c r="C41" s="109">
        <f>'Дотации 2023'!C42</f>
        <v>22936</v>
      </c>
      <c r="D41" s="110">
        <f>'Дотации 2023'!D42</f>
        <v>1.0941666839755497</v>
      </c>
      <c r="E41" s="111">
        <f t="shared" si="6"/>
        <v>0.6169326637973348</v>
      </c>
      <c r="F41" s="180">
        <f t="shared" si="7"/>
        <v>18391.395084435313</v>
      </c>
      <c r="G41" s="112">
        <v>14422</v>
      </c>
      <c r="H41" s="112">
        <f t="shared" si="5"/>
        <v>14713.116067548252</v>
      </c>
      <c r="I41" s="6">
        <f t="shared" si="8"/>
        <v>14713</v>
      </c>
      <c r="J41" s="6">
        <f t="shared" si="4"/>
        <v>14713</v>
      </c>
      <c r="L41" s="10"/>
      <c r="M41" s="10"/>
      <c r="N41" s="158"/>
      <c r="O41" s="158"/>
      <c r="P41" s="158"/>
    </row>
    <row r="42" spans="1:16" ht="15.75">
      <c r="A42" s="107" t="s">
        <v>32</v>
      </c>
      <c r="B42" s="179">
        <f>'Налог.потенц. 2023-2025'!B42</f>
        <v>88646.20675465201</v>
      </c>
      <c r="C42" s="109">
        <f>'Дотации 2023'!C43</f>
        <v>15727</v>
      </c>
      <c r="D42" s="110">
        <f>'Дотации 2023'!D43</f>
        <v>1.0913894952885286</v>
      </c>
      <c r="E42" s="111">
        <f t="shared" si="6"/>
        <v>0.49677129695584693</v>
      </c>
      <c r="F42" s="180">
        <f t="shared" si="7"/>
        <v>28328.13587621314</v>
      </c>
      <c r="G42" s="112">
        <v>25889</v>
      </c>
      <c r="H42" s="112">
        <f t="shared" si="5"/>
        <v>22662.508700970513</v>
      </c>
      <c r="I42" s="6">
        <f t="shared" si="8"/>
        <v>25889</v>
      </c>
      <c r="J42" s="6">
        <f t="shared" si="4"/>
        <v>22663</v>
      </c>
      <c r="L42" s="10"/>
      <c r="M42" s="10"/>
      <c r="N42" s="158"/>
      <c r="O42" s="158"/>
      <c r="P42" s="158"/>
    </row>
    <row r="43" spans="1:16" ht="15.75">
      <c r="A43" s="107" t="s">
        <v>33</v>
      </c>
      <c r="B43" s="179">
        <f>'Налог.потенц. 2023-2025'!B43</f>
        <v>71099.04885031699</v>
      </c>
      <c r="C43" s="109">
        <f>'Дотации 2023'!C44</f>
        <v>13617</v>
      </c>
      <c r="D43" s="110">
        <f>'Дотации 2023'!D44</f>
        <v>1.0862858290410753</v>
      </c>
      <c r="E43" s="111">
        <f t="shared" si="6"/>
        <v>0.4623386852558408</v>
      </c>
      <c r="F43" s="180">
        <f t="shared" si="7"/>
        <v>28427.10887616046</v>
      </c>
      <c r="G43" s="112">
        <v>24225</v>
      </c>
      <c r="H43" s="112">
        <f>F43*0.8</f>
        <v>22741.687100928368</v>
      </c>
      <c r="I43" s="6">
        <f>IF(ROUND(F43*0.8,0)&lt;G43,G43,ROUND(F43*0.8,0))</f>
        <v>24225</v>
      </c>
      <c r="J43" s="6">
        <f t="shared" si="4"/>
        <v>22742</v>
      </c>
      <c r="K43" s="158"/>
      <c r="L43" s="158"/>
      <c r="M43" s="158"/>
      <c r="N43" s="158"/>
      <c r="O43" s="158"/>
      <c r="P43" s="158"/>
    </row>
    <row r="44" spans="1:16" ht="15.75">
      <c r="A44" s="107" t="s">
        <v>34</v>
      </c>
      <c r="B44" s="179">
        <f>'Налог.потенц. 2023-2025'!B44</f>
        <v>73028.82364649532</v>
      </c>
      <c r="C44" s="109">
        <f>'Дотации 2023'!C45</f>
        <v>14393</v>
      </c>
      <c r="D44" s="110">
        <f>'Дотации 2023'!D45</f>
        <v>1.0868203107066359</v>
      </c>
      <c r="E44" s="111">
        <f t="shared" si="6"/>
        <v>0.4490629530781324</v>
      </c>
      <c r="F44" s="180">
        <f t="shared" si="7"/>
        <v>31636.298508482956</v>
      </c>
      <c r="G44" s="112">
        <v>24796</v>
      </c>
      <c r="H44" s="112">
        <f t="shared" si="5"/>
        <v>25309.038806786368</v>
      </c>
      <c r="I44" s="6">
        <f t="shared" si="8"/>
        <v>25309</v>
      </c>
      <c r="J44" s="6">
        <f t="shared" si="4"/>
        <v>25309</v>
      </c>
      <c r="K44" s="158"/>
      <c r="L44" s="158"/>
      <c r="M44" s="158"/>
      <c r="N44" s="158"/>
      <c r="O44" s="158"/>
      <c r="P44" s="158"/>
    </row>
    <row r="45" spans="1:16" ht="15.75">
      <c r="A45" s="107" t="s">
        <v>10</v>
      </c>
      <c r="B45" s="179">
        <f>'Налог.потенц. 2023-2025'!B45</f>
        <v>176485.50259789266</v>
      </c>
      <c r="C45" s="109">
        <f>'Дотации 2023'!C46</f>
        <v>18288</v>
      </c>
      <c r="D45" s="110">
        <f>'Дотации 2023'!D46</f>
        <v>1.0849554355276696</v>
      </c>
      <c r="E45" s="111">
        <f t="shared" si="6"/>
        <v>0.8555648178721088</v>
      </c>
      <c r="F45" s="180">
        <f t="shared" si="7"/>
        <v>0</v>
      </c>
      <c r="G45" s="112">
        <v>10927</v>
      </c>
      <c r="H45" s="112">
        <f t="shared" si="5"/>
        <v>0</v>
      </c>
      <c r="I45" s="6">
        <f t="shared" si="8"/>
        <v>10927</v>
      </c>
      <c r="J45" s="6">
        <f t="shared" si="4"/>
        <v>0</v>
      </c>
      <c r="K45" s="158"/>
      <c r="L45" s="158"/>
      <c r="M45" s="158"/>
      <c r="N45" s="158"/>
      <c r="O45" s="158"/>
      <c r="P45" s="158"/>
    </row>
    <row r="46" spans="1:16" ht="15.75">
      <c r="A46" s="166"/>
      <c r="B46" s="168"/>
      <c r="C46" s="149"/>
      <c r="D46" s="88"/>
      <c r="E46" s="103"/>
      <c r="F46" s="151"/>
      <c r="G46" s="151"/>
      <c r="H46" s="151"/>
      <c r="I46" s="151"/>
      <c r="J46" s="169"/>
      <c r="K46" s="158"/>
      <c r="L46" s="158"/>
      <c r="M46" s="158"/>
      <c r="N46" s="158"/>
      <c r="O46" s="158"/>
      <c r="P46" s="158"/>
    </row>
    <row r="47" spans="1:16" ht="15.75">
      <c r="A47" s="171" t="s">
        <v>171</v>
      </c>
      <c r="B47" s="172"/>
      <c r="C47" s="153"/>
      <c r="D47" s="173"/>
      <c r="E47" s="174"/>
      <c r="F47" s="154"/>
      <c r="G47" s="154"/>
      <c r="H47" s="154">
        <f>F49-SUM(H8:H45)</f>
        <v>171940.19999999972</v>
      </c>
      <c r="I47" s="154">
        <f>F49-SUM(I8:I45)</f>
        <v>112060.99999999977</v>
      </c>
      <c r="J47" s="175">
        <f>F49-SUM(J8:J45)</f>
        <v>171939.99999999977</v>
      </c>
      <c r="K47" s="158"/>
      <c r="L47" s="158"/>
      <c r="M47" s="158"/>
      <c r="N47" s="158"/>
      <c r="O47" s="158"/>
      <c r="P47" s="158"/>
    </row>
    <row r="48" spans="1:16" ht="15.75">
      <c r="A48" s="166"/>
      <c r="B48" s="15"/>
      <c r="C48" s="176"/>
      <c r="D48" s="177"/>
      <c r="E48" s="178"/>
      <c r="F48" s="178"/>
      <c r="G48" s="178"/>
      <c r="H48" s="178"/>
      <c r="I48" s="15"/>
      <c r="J48" s="167"/>
      <c r="K48" s="158"/>
      <c r="L48" s="158"/>
      <c r="M48" s="158"/>
      <c r="N48" s="158"/>
      <c r="O48" s="158"/>
      <c r="P48" s="158"/>
    </row>
    <row r="49" spans="1:16" ht="15.75">
      <c r="A49" s="8" t="s">
        <v>35</v>
      </c>
      <c r="B49" s="9">
        <f>SUM(B8:B48)</f>
        <v>32558240.84679001</v>
      </c>
      <c r="C49" s="9">
        <f>SUM(C8:C45)</f>
        <v>3131720</v>
      </c>
      <c r="D49" s="9"/>
      <c r="E49" s="16">
        <f>B49/C49</f>
        <v>10.39628090850715</v>
      </c>
      <c r="F49" s="9">
        <f>SUM(F8:F45)</f>
        <v>859700.9999999998</v>
      </c>
      <c r="G49" s="9">
        <f>SUM(G8:G45)</f>
        <v>687761</v>
      </c>
      <c r="H49" s="9">
        <f>SUM(H8:H47)</f>
        <v>859700.9999999998</v>
      </c>
      <c r="I49" s="9">
        <f>SUM(I8:I47)</f>
        <v>859700.9999999998</v>
      </c>
      <c r="J49" s="9">
        <f>SUM(J8:J47)</f>
        <v>859700.9999999998</v>
      </c>
      <c r="K49" s="158"/>
      <c r="L49" s="158"/>
      <c r="M49" s="158"/>
      <c r="N49" s="158"/>
      <c r="O49" s="158"/>
      <c r="P49" s="158"/>
    </row>
    <row r="50" spans="9:16" ht="15.75">
      <c r="I50" s="12"/>
      <c r="J50" s="12"/>
      <c r="L50" s="10"/>
      <c r="M50" s="10"/>
      <c r="N50" s="158"/>
      <c r="O50" s="158"/>
      <c r="P50" s="158"/>
    </row>
    <row r="51" spans="6:16" ht="15.75">
      <c r="F51" s="155"/>
      <c r="G51" s="155"/>
      <c r="H51" s="155"/>
      <c r="I51" s="11"/>
      <c r="J51" s="11"/>
      <c r="L51" s="10"/>
      <c r="M51" s="10"/>
      <c r="N51" s="158"/>
      <c r="O51" s="158"/>
      <c r="P51" s="158"/>
    </row>
    <row r="52" spans="6:10" ht="15.75">
      <c r="F52" s="5"/>
      <c r="G52" s="5"/>
      <c r="H52" s="5"/>
      <c r="I52" s="11"/>
      <c r="J52" s="12"/>
    </row>
    <row r="53" spans="9:10" ht="15.75">
      <c r="I53" s="11"/>
      <c r="J53" s="11"/>
    </row>
    <row r="54" spans="6:10" ht="15.75">
      <c r="F54" s="5"/>
      <c r="G54" s="5"/>
      <c r="H54" s="5"/>
      <c r="I54" s="11"/>
      <c r="J54" s="11"/>
    </row>
    <row r="55" spans="8:10" ht="15.75">
      <c r="H55" s="156"/>
      <c r="I55" s="12"/>
      <c r="J55" s="12"/>
    </row>
    <row r="56" spans="9:10" ht="15.75">
      <c r="I56" s="11"/>
      <c r="J56" s="11"/>
    </row>
    <row r="57" spans="9:10" ht="15.75">
      <c r="I57" s="12"/>
      <c r="J57" s="12"/>
    </row>
    <row r="61" ht="15.75">
      <c r="J61" s="157"/>
    </row>
  </sheetData>
  <sheetProtection/>
  <mergeCells count="10">
    <mergeCell ref="G4:G5"/>
    <mergeCell ref="I4:J4"/>
    <mergeCell ref="H4:H5"/>
    <mergeCell ref="A2:J2"/>
    <mergeCell ref="A4:A5"/>
    <mergeCell ref="B4:B5"/>
    <mergeCell ref="C4:C5"/>
    <mergeCell ref="D4:D5"/>
    <mergeCell ref="E4:E5"/>
    <mergeCell ref="F4:F5"/>
  </mergeCells>
  <conditionalFormatting sqref="I8:I47 J47 H47">
    <cfRule type="expression" priority="4" dxfId="2">
      <formula>$G8=$I8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rgb="FF003300"/>
    <pageSetUpPr fitToPage="1"/>
  </sheetPr>
  <dimension ref="A1:S55"/>
  <sheetViews>
    <sheetView zoomScale="80" zoomScaleNormal="80" zoomScalePageLayoutView="0" workbookViewId="0" topLeftCell="A1">
      <selection activeCell="A2" sqref="A2:I3"/>
    </sheetView>
  </sheetViews>
  <sheetFormatPr defaultColWidth="9.00390625" defaultRowHeight="12.75"/>
  <cols>
    <col min="1" max="1" width="25.625" style="24" customWidth="1"/>
    <col min="2" max="2" width="16.375" style="24" customWidth="1"/>
    <col min="3" max="3" width="20.00390625" style="24" customWidth="1"/>
    <col min="4" max="4" width="21.625" style="24" customWidth="1"/>
    <col min="5" max="5" width="13.125" style="24" customWidth="1"/>
    <col min="6" max="6" width="32.875" style="24" customWidth="1"/>
    <col min="7" max="7" width="21.625" style="24" customWidth="1"/>
    <col min="8" max="8" width="33.75390625" style="24" customWidth="1"/>
    <col min="9" max="9" width="22.375" style="24" customWidth="1"/>
    <col min="10" max="10" width="16.25390625" style="24" bestFit="1" customWidth="1"/>
    <col min="11" max="11" width="15.00390625" style="24" bestFit="1" customWidth="1"/>
    <col min="12" max="12" width="41.625" style="30" customWidth="1"/>
    <col min="13" max="14" width="13.75390625" style="30" bestFit="1" customWidth="1"/>
    <col min="15" max="15" width="16.125" style="30" bestFit="1" customWidth="1"/>
    <col min="16" max="16" width="9.125" style="30" customWidth="1"/>
    <col min="17" max="17" width="16.125" style="24" bestFit="1" customWidth="1"/>
    <col min="18" max="18" width="9.625" style="24" bestFit="1" customWidth="1"/>
    <col min="19" max="16384" width="9.125" style="24" customWidth="1"/>
  </cols>
  <sheetData>
    <row r="1" spans="1:16" s="29" customFormat="1" ht="15" customHeight="1">
      <c r="A1" s="211" t="s">
        <v>60</v>
      </c>
      <c r="B1" s="211"/>
      <c r="C1" s="211"/>
      <c r="D1" s="211"/>
      <c r="E1" s="211"/>
      <c r="F1" s="211"/>
      <c r="G1" s="211"/>
      <c r="H1" s="211"/>
      <c r="I1" s="211"/>
      <c r="L1" s="30"/>
      <c r="M1" s="30"/>
      <c r="N1" s="30"/>
      <c r="O1" s="30"/>
      <c r="P1" s="30"/>
    </row>
    <row r="2" spans="1:16" s="29" customFormat="1" ht="22.5" customHeight="1">
      <c r="A2" s="210" t="s">
        <v>161</v>
      </c>
      <c r="B2" s="210"/>
      <c r="C2" s="210"/>
      <c r="D2" s="210"/>
      <c r="E2" s="210"/>
      <c r="F2" s="210"/>
      <c r="G2" s="210"/>
      <c r="H2" s="210"/>
      <c r="I2" s="210"/>
      <c r="L2" s="30"/>
      <c r="M2" s="30"/>
      <c r="N2" s="30"/>
      <c r="O2" s="30"/>
      <c r="P2" s="30"/>
    </row>
    <row r="3" spans="1:16" s="29" customFormat="1" ht="15.75">
      <c r="A3" s="192"/>
      <c r="B3" s="192"/>
      <c r="C3" s="192"/>
      <c r="D3" s="192"/>
      <c r="E3" s="192"/>
      <c r="F3" s="192"/>
      <c r="G3" s="192"/>
      <c r="H3" s="192"/>
      <c r="I3" s="192"/>
      <c r="L3" s="30"/>
      <c r="M3" s="30"/>
      <c r="N3" s="30"/>
      <c r="O3" s="30"/>
      <c r="P3" s="30"/>
    </row>
    <row r="4" spans="1:11" s="30" customFormat="1" ht="69" customHeight="1">
      <c r="A4" s="35" t="s">
        <v>116</v>
      </c>
      <c r="B4" s="218" t="s">
        <v>58</v>
      </c>
      <c r="C4" s="219"/>
      <c r="D4" s="220"/>
      <c r="E4" s="35" t="s">
        <v>114</v>
      </c>
      <c r="F4" s="34" t="s">
        <v>91</v>
      </c>
      <c r="G4" s="33" t="s">
        <v>57</v>
      </c>
      <c r="H4" s="34" t="s">
        <v>115</v>
      </c>
      <c r="I4" s="34" t="s">
        <v>126</v>
      </c>
      <c r="J4" s="29"/>
      <c r="K4" s="29"/>
    </row>
    <row r="5" spans="1:11" s="30" customFormat="1" ht="15.75" customHeight="1">
      <c r="A5" s="223" t="s">
        <v>49</v>
      </c>
      <c r="B5" s="214" t="s">
        <v>153</v>
      </c>
      <c r="C5" s="221" t="s">
        <v>121</v>
      </c>
      <c r="D5" s="222"/>
      <c r="E5" s="212" t="s">
        <v>156</v>
      </c>
      <c r="F5" s="212" t="s">
        <v>157</v>
      </c>
      <c r="G5" s="214" t="s">
        <v>158</v>
      </c>
      <c r="H5" s="216" t="s">
        <v>159</v>
      </c>
      <c r="I5" s="216" t="s">
        <v>160</v>
      </c>
      <c r="J5" s="29"/>
      <c r="K5" s="29"/>
    </row>
    <row r="6" spans="1:10" s="30" customFormat="1" ht="164.25" customHeight="1">
      <c r="A6" s="224"/>
      <c r="B6" s="215"/>
      <c r="C6" s="106" t="s">
        <v>154</v>
      </c>
      <c r="D6" s="106" t="s">
        <v>155</v>
      </c>
      <c r="E6" s="213"/>
      <c r="F6" s="213"/>
      <c r="G6" s="215"/>
      <c r="H6" s="217"/>
      <c r="I6" s="217"/>
      <c r="J6" s="29"/>
    </row>
    <row r="7" spans="1:10" s="30" customFormat="1" ht="15.75">
      <c r="A7" s="31" t="s">
        <v>38</v>
      </c>
      <c r="B7" s="32" t="s">
        <v>127</v>
      </c>
      <c r="C7" s="32" t="s">
        <v>40</v>
      </c>
      <c r="D7" s="31" t="s">
        <v>41</v>
      </c>
      <c r="E7" s="32" t="s">
        <v>42</v>
      </c>
      <c r="F7" s="32" t="s">
        <v>47</v>
      </c>
      <c r="G7" s="31" t="s">
        <v>43</v>
      </c>
      <c r="H7" s="31" t="s">
        <v>45</v>
      </c>
      <c r="I7" s="31" t="s">
        <v>51</v>
      </c>
      <c r="J7" s="29"/>
    </row>
    <row r="8" spans="1:16" s="29" customFormat="1" ht="15.75">
      <c r="A8" s="15" t="s">
        <v>117</v>
      </c>
      <c r="B8" s="74"/>
      <c r="C8" s="74"/>
      <c r="D8" s="74"/>
      <c r="E8" s="75"/>
      <c r="F8" s="76"/>
      <c r="G8" s="76"/>
      <c r="L8" s="30"/>
      <c r="M8" s="30"/>
      <c r="N8" s="30"/>
      <c r="O8" s="30"/>
      <c r="P8" s="30"/>
    </row>
    <row r="9" spans="1:19" s="28" customFormat="1" ht="15.75">
      <c r="A9" s="77" t="s">
        <v>0</v>
      </c>
      <c r="B9" s="78">
        <f>C9+D9</f>
        <v>318089193.46</v>
      </c>
      <c r="C9" s="78">
        <v>293697507.46</v>
      </c>
      <c r="D9" s="78">
        <v>24391686</v>
      </c>
      <c r="E9" s="138">
        <v>66528</v>
      </c>
      <c r="F9" s="139">
        <v>1855307</v>
      </c>
      <c r="G9" s="139">
        <v>20412</v>
      </c>
      <c r="H9" s="139">
        <v>1936620</v>
      </c>
      <c r="I9" s="139">
        <v>38911</v>
      </c>
      <c r="J9" s="132"/>
      <c r="K9" s="132"/>
      <c r="L9" s="77"/>
      <c r="M9" s="132"/>
      <c r="N9" s="132"/>
      <c r="O9" s="132"/>
      <c r="P9" s="132"/>
      <c r="Q9" s="132"/>
      <c r="R9" s="132"/>
      <c r="S9" s="126"/>
    </row>
    <row r="10" spans="1:19" ht="15.75">
      <c r="A10" s="77" t="s">
        <v>1</v>
      </c>
      <c r="B10" s="78">
        <f aca="true" t="shared" si="0" ref="B10:B46">C10+D10</f>
        <v>120091474.969</v>
      </c>
      <c r="C10" s="78">
        <v>111491488.969</v>
      </c>
      <c r="D10" s="78">
        <v>8599986</v>
      </c>
      <c r="E10" s="138">
        <v>60765</v>
      </c>
      <c r="F10" s="139">
        <v>737713</v>
      </c>
      <c r="G10" s="139">
        <v>10953</v>
      </c>
      <c r="H10" s="139">
        <v>928316</v>
      </c>
      <c r="I10" s="139">
        <v>19288</v>
      </c>
      <c r="J10" s="132"/>
      <c r="K10" s="132"/>
      <c r="L10" s="77"/>
      <c r="M10" s="132"/>
      <c r="N10" s="132"/>
      <c r="O10" s="132"/>
      <c r="P10" s="132"/>
      <c r="Q10" s="132"/>
      <c r="R10" s="132"/>
      <c r="S10" s="126"/>
    </row>
    <row r="11" spans="1:19" ht="15.75">
      <c r="A11" s="77" t="s">
        <v>2</v>
      </c>
      <c r="B11" s="78">
        <f t="shared" si="0"/>
        <v>25730087.406</v>
      </c>
      <c r="C11" s="78">
        <v>24529658.406</v>
      </c>
      <c r="D11" s="78">
        <v>1200429</v>
      </c>
      <c r="E11" s="138">
        <v>6458</v>
      </c>
      <c r="F11" s="139">
        <v>136617</v>
      </c>
      <c r="G11" s="139">
        <v>2411</v>
      </c>
      <c r="H11" s="139">
        <v>120933</v>
      </c>
      <c r="I11" s="139">
        <v>3122</v>
      </c>
      <c r="J11" s="132"/>
      <c r="K11" s="132"/>
      <c r="L11" s="77"/>
      <c r="M11" s="132"/>
      <c r="N11" s="132"/>
      <c r="O11" s="132"/>
      <c r="P11" s="132"/>
      <c r="Q11" s="132"/>
      <c r="R11" s="132"/>
      <c r="S11" s="126"/>
    </row>
    <row r="12" spans="1:19" ht="15.75">
      <c r="A12" s="77" t="s">
        <v>11</v>
      </c>
      <c r="B12" s="78">
        <f t="shared" si="0"/>
        <v>21047887.521</v>
      </c>
      <c r="C12" s="78">
        <v>19772312.521</v>
      </c>
      <c r="D12" s="78">
        <v>1275575</v>
      </c>
      <c r="E12" s="138">
        <v>7699</v>
      </c>
      <c r="F12" s="139">
        <v>175607</v>
      </c>
      <c r="G12" s="139">
        <v>1543</v>
      </c>
      <c r="H12" s="139">
        <v>108191</v>
      </c>
      <c r="I12" s="139">
        <v>1849</v>
      </c>
      <c r="J12" s="132"/>
      <c r="K12" s="132"/>
      <c r="L12" s="77"/>
      <c r="M12" s="132"/>
      <c r="N12" s="132"/>
      <c r="O12" s="132"/>
      <c r="P12" s="132"/>
      <c r="Q12" s="132"/>
      <c r="R12" s="132"/>
      <c r="S12" s="126"/>
    </row>
    <row r="13" spans="1:19" ht="15.75">
      <c r="A13" s="77" t="s">
        <v>3</v>
      </c>
      <c r="B13" s="78">
        <f t="shared" si="0"/>
        <v>6804948.724</v>
      </c>
      <c r="C13" s="78">
        <v>6407296.724</v>
      </c>
      <c r="D13" s="78">
        <v>397652</v>
      </c>
      <c r="E13" s="138">
        <v>2434</v>
      </c>
      <c r="F13" s="139">
        <v>49855</v>
      </c>
      <c r="G13" s="139">
        <v>1242</v>
      </c>
      <c r="H13" s="139">
        <v>41958</v>
      </c>
      <c r="I13" s="139">
        <v>873</v>
      </c>
      <c r="J13" s="132"/>
      <c r="K13" s="132"/>
      <c r="L13" s="77"/>
      <c r="M13" s="132"/>
      <c r="N13" s="132"/>
      <c r="O13" s="132"/>
      <c r="P13" s="132"/>
      <c r="Q13" s="132"/>
      <c r="R13" s="132"/>
      <c r="S13" s="126"/>
    </row>
    <row r="14" spans="1:19" ht="15.75">
      <c r="A14" s="77" t="s">
        <v>4</v>
      </c>
      <c r="B14" s="78">
        <f t="shared" si="0"/>
        <v>8735198.217</v>
      </c>
      <c r="C14" s="78">
        <v>8233146.217</v>
      </c>
      <c r="D14" s="78">
        <v>502052</v>
      </c>
      <c r="E14" s="138">
        <v>1325</v>
      </c>
      <c r="F14" s="139">
        <v>40239</v>
      </c>
      <c r="G14" s="139">
        <v>606</v>
      </c>
      <c r="H14" s="139">
        <v>32094</v>
      </c>
      <c r="I14" s="139">
        <v>731</v>
      </c>
      <c r="J14" s="132"/>
      <c r="K14" s="132"/>
      <c r="L14" s="77"/>
      <c r="M14" s="132"/>
      <c r="N14" s="132"/>
      <c r="O14" s="132"/>
      <c r="P14" s="132"/>
      <c r="Q14" s="132"/>
      <c r="R14" s="132"/>
      <c r="S14" s="126"/>
    </row>
    <row r="15" spans="1:19" ht="15.75">
      <c r="A15" s="77" t="s">
        <v>56</v>
      </c>
      <c r="B15" s="78">
        <f t="shared" si="0"/>
        <v>7178639.201</v>
      </c>
      <c r="C15" s="78">
        <v>6087802.201</v>
      </c>
      <c r="D15" s="78">
        <v>1090837</v>
      </c>
      <c r="E15" s="138">
        <v>224</v>
      </c>
      <c r="F15" s="139">
        <v>51188</v>
      </c>
      <c r="G15" s="139">
        <v>759</v>
      </c>
      <c r="H15" s="139">
        <v>38750</v>
      </c>
      <c r="I15" s="139">
        <v>1046</v>
      </c>
      <c r="J15" s="132"/>
      <c r="K15" s="132"/>
      <c r="L15" s="77"/>
      <c r="M15" s="132"/>
      <c r="N15" s="132"/>
      <c r="O15" s="132"/>
      <c r="P15" s="132"/>
      <c r="Q15" s="132"/>
      <c r="R15" s="132"/>
      <c r="S15" s="126"/>
    </row>
    <row r="16" spans="1:19" ht="15.75">
      <c r="A16" s="77" t="s">
        <v>5</v>
      </c>
      <c r="B16" s="78">
        <f t="shared" si="0"/>
        <v>2036672.863</v>
      </c>
      <c r="C16" s="78">
        <v>1947142.863</v>
      </c>
      <c r="D16" s="78">
        <v>89530</v>
      </c>
      <c r="E16" s="138">
        <v>0</v>
      </c>
      <c r="F16" s="139">
        <v>22024</v>
      </c>
      <c r="G16" s="139">
        <v>155</v>
      </c>
      <c r="H16" s="139">
        <v>8223</v>
      </c>
      <c r="I16" s="139">
        <v>216</v>
      </c>
      <c r="J16" s="132"/>
      <c r="K16" s="132"/>
      <c r="L16" s="77"/>
      <c r="M16" s="132"/>
      <c r="N16" s="132"/>
      <c r="O16" s="132"/>
      <c r="P16" s="132"/>
      <c r="Q16" s="132"/>
      <c r="R16" s="132"/>
      <c r="S16" s="126"/>
    </row>
    <row r="17" spans="1:19" ht="15.75">
      <c r="A17" s="77" t="s">
        <v>6</v>
      </c>
      <c r="B17" s="78">
        <f t="shared" si="0"/>
        <v>7140730.37</v>
      </c>
      <c r="C17" s="78">
        <v>6566879.37</v>
      </c>
      <c r="D17" s="78">
        <v>573851</v>
      </c>
      <c r="E17" s="138">
        <v>13004</v>
      </c>
      <c r="F17" s="139">
        <v>55802</v>
      </c>
      <c r="G17" s="139">
        <v>1074</v>
      </c>
      <c r="H17" s="139">
        <v>56423</v>
      </c>
      <c r="I17" s="139">
        <v>1255</v>
      </c>
      <c r="J17" s="132"/>
      <c r="K17" s="132"/>
      <c r="L17" s="77"/>
      <c r="M17" s="132"/>
      <c r="N17" s="132"/>
      <c r="O17" s="132"/>
      <c r="P17" s="132"/>
      <c r="Q17" s="132"/>
      <c r="R17" s="132"/>
      <c r="S17" s="126"/>
    </row>
    <row r="18" spans="1:19" ht="15.75">
      <c r="A18" s="77" t="s">
        <v>13</v>
      </c>
      <c r="B18" s="78">
        <f t="shared" si="0"/>
        <v>3183219.77</v>
      </c>
      <c r="C18" s="78">
        <v>2999720.77</v>
      </c>
      <c r="D18" s="78">
        <v>183499</v>
      </c>
      <c r="E18" s="138">
        <v>13251</v>
      </c>
      <c r="F18" s="139">
        <v>14872</v>
      </c>
      <c r="G18" s="139">
        <v>327</v>
      </c>
      <c r="H18" s="139">
        <v>17065</v>
      </c>
      <c r="I18" s="139">
        <v>467</v>
      </c>
      <c r="J18" s="132"/>
      <c r="K18" s="132"/>
      <c r="L18" s="77"/>
      <c r="M18" s="132"/>
      <c r="N18" s="132"/>
      <c r="O18" s="132"/>
      <c r="P18" s="132"/>
      <c r="Q18" s="132"/>
      <c r="R18" s="132"/>
      <c r="S18" s="126"/>
    </row>
    <row r="19" spans="1:19" ht="15.75">
      <c r="A19" s="77" t="s">
        <v>101</v>
      </c>
      <c r="B19" s="78"/>
      <c r="C19" s="79"/>
      <c r="D19" s="79"/>
      <c r="E19" s="138"/>
      <c r="F19" s="140"/>
      <c r="G19" s="139"/>
      <c r="H19" s="140"/>
      <c r="I19" s="139"/>
      <c r="J19" s="132"/>
      <c r="K19" s="132"/>
      <c r="L19" s="77"/>
      <c r="M19" s="132"/>
      <c r="N19" s="132"/>
      <c r="O19" s="132"/>
      <c r="P19" s="132"/>
      <c r="Q19" s="132"/>
      <c r="R19" s="132"/>
      <c r="S19" s="126"/>
    </row>
    <row r="20" spans="1:19" ht="15.75">
      <c r="A20" s="77" t="s">
        <v>14</v>
      </c>
      <c r="B20" s="78">
        <f>C20+D20</f>
        <v>796881.512</v>
      </c>
      <c r="C20" s="78">
        <v>734137.512</v>
      </c>
      <c r="D20" s="78">
        <v>62744</v>
      </c>
      <c r="E20" s="138">
        <v>27698</v>
      </c>
      <c r="F20" s="139">
        <v>8317</v>
      </c>
      <c r="G20" s="139">
        <v>77</v>
      </c>
      <c r="H20" s="139">
        <v>3221</v>
      </c>
      <c r="I20" s="139">
        <v>154</v>
      </c>
      <c r="J20" s="132"/>
      <c r="K20" s="132"/>
      <c r="L20" s="77"/>
      <c r="M20" s="132"/>
      <c r="N20" s="132"/>
      <c r="O20" s="132"/>
      <c r="P20" s="132"/>
      <c r="Q20" s="132"/>
      <c r="R20" s="132"/>
      <c r="S20" s="126"/>
    </row>
    <row r="21" spans="1:19" ht="15.75">
      <c r="A21" s="77" t="s">
        <v>15</v>
      </c>
      <c r="B21" s="78">
        <f t="shared" si="0"/>
        <v>4319980.636</v>
      </c>
      <c r="C21" s="78">
        <v>4052581.636</v>
      </c>
      <c r="D21" s="78">
        <v>267399</v>
      </c>
      <c r="E21" s="138">
        <v>59475</v>
      </c>
      <c r="F21" s="139">
        <v>32628</v>
      </c>
      <c r="G21" s="139">
        <v>342</v>
      </c>
      <c r="H21" s="139">
        <v>23623</v>
      </c>
      <c r="I21" s="139">
        <v>480</v>
      </c>
      <c r="J21" s="132"/>
      <c r="K21" s="132"/>
      <c r="L21" s="77"/>
      <c r="M21" s="132"/>
      <c r="N21" s="132"/>
      <c r="O21" s="132"/>
      <c r="P21" s="132"/>
      <c r="Q21" s="132"/>
      <c r="R21" s="132"/>
      <c r="S21" s="126"/>
    </row>
    <row r="22" spans="1:19" ht="15.75">
      <c r="A22" s="77" t="s">
        <v>16</v>
      </c>
      <c r="B22" s="78">
        <f t="shared" si="0"/>
        <v>1495361.661</v>
      </c>
      <c r="C22" s="78">
        <v>1397908.661</v>
      </c>
      <c r="D22" s="78">
        <v>97453</v>
      </c>
      <c r="E22" s="138">
        <v>33746</v>
      </c>
      <c r="F22" s="139">
        <v>15541</v>
      </c>
      <c r="G22" s="139">
        <v>119</v>
      </c>
      <c r="H22" s="139">
        <v>5878</v>
      </c>
      <c r="I22" s="139">
        <v>228</v>
      </c>
      <c r="J22" s="132"/>
      <c r="K22" s="132"/>
      <c r="L22" s="77"/>
      <c r="M22" s="132"/>
      <c r="N22" s="132"/>
      <c r="O22" s="132"/>
      <c r="P22" s="132"/>
      <c r="Q22" s="132"/>
      <c r="R22" s="132"/>
      <c r="S22" s="126"/>
    </row>
    <row r="23" spans="1:19" ht="15.75">
      <c r="A23" s="77" t="s">
        <v>36</v>
      </c>
      <c r="B23" s="78">
        <f t="shared" si="0"/>
        <v>1516000.761</v>
      </c>
      <c r="C23" s="78">
        <v>1424526.761</v>
      </c>
      <c r="D23" s="78">
        <v>91474</v>
      </c>
      <c r="E23" s="138">
        <v>324816</v>
      </c>
      <c r="F23" s="139">
        <v>17225</v>
      </c>
      <c r="G23" s="139">
        <v>208</v>
      </c>
      <c r="H23" s="139">
        <v>11733</v>
      </c>
      <c r="I23" s="139">
        <v>222</v>
      </c>
      <c r="J23" s="132"/>
      <c r="K23" s="132"/>
      <c r="L23" s="77"/>
      <c r="M23" s="132"/>
      <c r="N23" s="132"/>
      <c r="O23" s="132"/>
      <c r="P23" s="132"/>
      <c r="Q23" s="132"/>
      <c r="R23" s="132"/>
      <c r="S23" s="126"/>
    </row>
    <row r="24" spans="1:19" ht="15.75">
      <c r="A24" s="77" t="s">
        <v>37</v>
      </c>
      <c r="B24" s="78">
        <f t="shared" si="0"/>
        <v>1761135.195</v>
      </c>
      <c r="C24" s="78">
        <v>1674979.195</v>
      </c>
      <c r="D24" s="78">
        <v>86156</v>
      </c>
      <c r="E24" s="138">
        <v>212019</v>
      </c>
      <c r="F24" s="139">
        <v>16340</v>
      </c>
      <c r="G24" s="139">
        <v>204</v>
      </c>
      <c r="H24" s="139">
        <v>10821</v>
      </c>
      <c r="I24" s="139">
        <v>244</v>
      </c>
      <c r="J24" s="132"/>
      <c r="K24" s="132"/>
      <c r="L24" s="77"/>
      <c r="M24" s="132"/>
      <c r="N24" s="132"/>
      <c r="O24" s="132"/>
      <c r="P24" s="132"/>
      <c r="Q24" s="132"/>
      <c r="R24" s="132"/>
      <c r="S24" s="126"/>
    </row>
    <row r="25" spans="1:19" ht="15.75">
      <c r="A25" s="77" t="s">
        <v>7</v>
      </c>
      <c r="B25" s="78">
        <f t="shared" si="0"/>
        <v>1426050.364</v>
      </c>
      <c r="C25" s="78">
        <v>1336870.364</v>
      </c>
      <c r="D25" s="78">
        <v>89180</v>
      </c>
      <c r="E25" s="138">
        <v>64807</v>
      </c>
      <c r="F25" s="139">
        <v>12077</v>
      </c>
      <c r="G25" s="139">
        <v>346</v>
      </c>
      <c r="H25" s="139">
        <v>8478</v>
      </c>
      <c r="I25" s="139">
        <v>361</v>
      </c>
      <c r="J25" s="132"/>
      <c r="K25" s="132"/>
      <c r="L25" s="77"/>
      <c r="M25" s="132"/>
      <c r="N25" s="132"/>
      <c r="O25" s="132"/>
      <c r="P25" s="132"/>
      <c r="Q25" s="132"/>
      <c r="R25" s="132"/>
      <c r="S25" s="126"/>
    </row>
    <row r="26" spans="1:19" ht="15.75">
      <c r="A26" s="77" t="s">
        <v>8</v>
      </c>
      <c r="B26" s="78">
        <f t="shared" si="0"/>
        <v>17000195.02</v>
      </c>
      <c r="C26" s="78">
        <v>15961949.02</v>
      </c>
      <c r="D26" s="78">
        <v>1038246</v>
      </c>
      <c r="E26" s="138">
        <v>24103</v>
      </c>
      <c r="F26" s="139">
        <v>253563</v>
      </c>
      <c r="G26" s="139">
        <v>991</v>
      </c>
      <c r="H26" s="139">
        <v>46421</v>
      </c>
      <c r="I26" s="139">
        <v>2114</v>
      </c>
      <c r="J26" s="132"/>
      <c r="K26" s="132"/>
      <c r="L26" s="77"/>
      <c r="M26" s="132"/>
      <c r="N26" s="132"/>
      <c r="O26" s="132"/>
      <c r="P26" s="132"/>
      <c r="Q26" s="132"/>
      <c r="R26" s="132"/>
      <c r="S26" s="126"/>
    </row>
    <row r="27" spans="1:19" ht="15.75">
      <c r="A27" s="77" t="s">
        <v>9</v>
      </c>
      <c r="B27" s="78">
        <f t="shared" si="0"/>
        <v>624458.733</v>
      </c>
      <c r="C27" s="78">
        <v>597657.733</v>
      </c>
      <c r="D27" s="78">
        <v>26801</v>
      </c>
      <c r="E27" s="138">
        <v>63562</v>
      </c>
      <c r="F27" s="139">
        <v>9731</v>
      </c>
      <c r="G27" s="139">
        <v>78</v>
      </c>
      <c r="H27" s="139">
        <v>3134</v>
      </c>
      <c r="I27" s="139">
        <v>96</v>
      </c>
      <c r="J27" s="132"/>
      <c r="K27" s="132"/>
      <c r="L27" s="77"/>
      <c r="M27" s="132"/>
      <c r="N27" s="132"/>
      <c r="O27" s="132"/>
      <c r="P27" s="132"/>
      <c r="Q27" s="132"/>
      <c r="R27" s="132"/>
      <c r="S27" s="126"/>
    </row>
    <row r="28" spans="1:19" ht="15.75">
      <c r="A28" s="77" t="s">
        <v>17</v>
      </c>
      <c r="B28" s="78">
        <f t="shared" si="0"/>
        <v>963027.833</v>
      </c>
      <c r="C28" s="78">
        <v>870788.833</v>
      </c>
      <c r="D28" s="78">
        <v>92239</v>
      </c>
      <c r="E28" s="138">
        <v>71400</v>
      </c>
      <c r="F28" s="139">
        <v>9946</v>
      </c>
      <c r="G28" s="139">
        <v>129</v>
      </c>
      <c r="H28" s="139">
        <v>2665</v>
      </c>
      <c r="I28" s="139">
        <v>142</v>
      </c>
      <c r="J28" s="132"/>
      <c r="K28" s="132"/>
      <c r="L28" s="77"/>
      <c r="M28" s="132"/>
      <c r="N28" s="132"/>
      <c r="O28" s="132"/>
      <c r="P28" s="132"/>
      <c r="Q28" s="132"/>
      <c r="R28" s="132"/>
      <c r="S28" s="126"/>
    </row>
    <row r="29" spans="1:19" ht="15.75">
      <c r="A29" s="77" t="s">
        <v>18</v>
      </c>
      <c r="B29" s="78">
        <f t="shared" si="0"/>
        <v>3273406.547</v>
      </c>
      <c r="C29" s="78">
        <v>3081614.547</v>
      </c>
      <c r="D29" s="78">
        <v>191792</v>
      </c>
      <c r="E29" s="138">
        <v>302831</v>
      </c>
      <c r="F29" s="139">
        <v>64453</v>
      </c>
      <c r="G29" s="139">
        <v>260</v>
      </c>
      <c r="H29" s="139">
        <v>12652</v>
      </c>
      <c r="I29" s="139">
        <v>398</v>
      </c>
      <c r="J29" s="132"/>
      <c r="K29" s="132"/>
      <c r="L29" s="77"/>
      <c r="M29" s="132"/>
      <c r="N29" s="132"/>
      <c r="O29" s="132"/>
      <c r="P29" s="132"/>
      <c r="Q29" s="132"/>
      <c r="R29" s="132"/>
      <c r="S29" s="126"/>
    </row>
    <row r="30" spans="1:19" ht="15.75">
      <c r="A30" s="77" t="s">
        <v>19</v>
      </c>
      <c r="B30" s="78">
        <f t="shared" si="0"/>
        <v>3947845.714</v>
      </c>
      <c r="C30" s="78">
        <v>3698018.714</v>
      </c>
      <c r="D30" s="78">
        <v>249827</v>
      </c>
      <c r="E30" s="138">
        <v>132173</v>
      </c>
      <c r="F30" s="139">
        <v>34358</v>
      </c>
      <c r="G30" s="139">
        <v>682</v>
      </c>
      <c r="H30" s="139">
        <v>21483</v>
      </c>
      <c r="I30" s="139">
        <v>583</v>
      </c>
      <c r="J30" s="132"/>
      <c r="K30" s="132"/>
      <c r="L30" s="77"/>
      <c r="M30" s="132"/>
      <c r="N30" s="132"/>
      <c r="O30" s="132"/>
      <c r="P30" s="132"/>
      <c r="Q30" s="132"/>
      <c r="R30" s="132"/>
      <c r="S30" s="126"/>
    </row>
    <row r="31" spans="1:19" ht="15.75">
      <c r="A31" s="77" t="s">
        <v>20</v>
      </c>
      <c r="B31" s="78">
        <f t="shared" si="0"/>
        <v>1105812.3190000001</v>
      </c>
      <c r="C31" s="78">
        <v>1001020.319</v>
      </c>
      <c r="D31" s="78">
        <v>104792</v>
      </c>
      <c r="E31" s="138">
        <v>78955</v>
      </c>
      <c r="F31" s="139">
        <v>9133</v>
      </c>
      <c r="G31" s="139">
        <v>109</v>
      </c>
      <c r="H31" s="139">
        <v>3703</v>
      </c>
      <c r="I31" s="139">
        <v>118</v>
      </c>
      <c r="J31" s="132"/>
      <c r="K31" s="132"/>
      <c r="L31" s="77"/>
      <c r="M31" s="132"/>
      <c r="N31" s="132"/>
      <c r="O31" s="132"/>
      <c r="P31" s="132"/>
      <c r="Q31" s="132"/>
      <c r="R31" s="132"/>
      <c r="S31" s="126"/>
    </row>
    <row r="32" spans="1:19" ht="15.75">
      <c r="A32" s="77" t="s">
        <v>21</v>
      </c>
      <c r="B32" s="78">
        <f t="shared" si="0"/>
        <v>2150589.267</v>
      </c>
      <c r="C32" s="78">
        <v>2042019.267</v>
      </c>
      <c r="D32" s="78">
        <v>108570</v>
      </c>
      <c r="E32" s="138">
        <v>199002</v>
      </c>
      <c r="F32" s="139">
        <v>19015</v>
      </c>
      <c r="G32" s="139">
        <v>200</v>
      </c>
      <c r="H32" s="139">
        <v>2936</v>
      </c>
      <c r="I32" s="139">
        <v>172</v>
      </c>
      <c r="J32" s="132"/>
      <c r="K32" s="132"/>
      <c r="L32" s="77"/>
      <c r="M32" s="132"/>
      <c r="N32" s="132"/>
      <c r="O32" s="132"/>
      <c r="P32" s="132"/>
      <c r="Q32" s="132"/>
      <c r="R32" s="132"/>
      <c r="S32" s="126"/>
    </row>
    <row r="33" spans="1:19" ht="15.75">
      <c r="A33" s="77" t="s">
        <v>22</v>
      </c>
      <c r="B33" s="78">
        <f t="shared" si="0"/>
        <v>1754631.58</v>
      </c>
      <c r="C33" s="78">
        <v>1659894.58</v>
      </c>
      <c r="D33" s="78">
        <v>94737</v>
      </c>
      <c r="E33" s="138">
        <v>181658</v>
      </c>
      <c r="F33" s="139">
        <v>16299</v>
      </c>
      <c r="G33" s="139">
        <v>221</v>
      </c>
      <c r="H33" s="139">
        <v>6526</v>
      </c>
      <c r="I33" s="139">
        <v>206</v>
      </c>
      <c r="J33" s="132"/>
      <c r="K33" s="132"/>
      <c r="L33" s="77"/>
      <c r="M33" s="132"/>
      <c r="N33" s="132"/>
      <c r="O33" s="132"/>
      <c r="P33" s="132"/>
      <c r="Q33" s="132"/>
      <c r="R33" s="132"/>
      <c r="S33" s="126"/>
    </row>
    <row r="34" spans="1:19" ht="15.75">
      <c r="A34" s="77" t="s">
        <v>23</v>
      </c>
      <c r="B34" s="78">
        <f t="shared" si="0"/>
        <v>6802629.19</v>
      </c>
      <c r="C34" s="78">
        <v>6348122.19</v>
      </c>
      <c r="D34" s="78">
        <v>454507</v>
      </c>
      <c r="E34" s="138">
        <v>37195</v>
      </c>
      <c r="F34" s="139">
        <v>116517</v>
      </c>
      <c r="G34" s="139">
        <v>773</v>
      </c>
      <c r="H34" s="139">
        <v>47606</v>
      </c>
      <c r="I34" s="139">
        <v>1259</v>
      </c>
      <c r="J34" s="132"/>
      <c r="K34" s="132"/>
      <c r="L34" s="77"/>
      <c r="M34" s="132"/>
      <c r="N34" s="132"/>
      <c r="O34" s="132"/>
      <c r="P34" s="132"/>
      <c r="Q34" s="132"/>
      <c r="R34" s="132"/>
      <c r="S34" s="126"/>
    </row>
    <row r="35" spans="1:19" ht="15.75">
      <c r="A35" s="77" t="s">
        <v>24</v>
      </c>
      <c r="B35" s="78">
        <f t="shared" si="0"/>
        <v>621040.528</v>
      </c>
      <c r="C35" s="78">
        <v>594691.528</v>
      </c>
      <c r="D35" s="78">
        <v>26349</v>
      </c>
      <c r="E35" s="138">
        <v>4216</v>
      </c>
      <c r="F35" s="139">
        <v>7924</v>
      </c>
      <c r="G35" s="139">
        <v>107</v>
      </c>
      <c r="H35" s="139">
        <v>2322</v>
      </c>
      <c r="I35" s="139">
        <v>106</v>
      </c>
      <c r="J35" s="132"/>
      <c r="K35" s="132"/>
      <c r="L35" s="77"/>
      <c r="M35" s="132"/>
      <c r="N35" s="132"/>
      <c r="O35" s="132"/>
      <c r="P35" s="132"/>
      <c r="Q35" s="132"/>
      <c r="R35" s="132"/>
      <c r="S35" s="126"/>
    </row>
    <row r="36" spans="1:19" ht="15.75">
      <c r="A36" s="77" t="s">
        <v>25</v>
      </c>
      <c r="B36" s="78">
        <f t="shared" si="0"/>
        <v>3598400.018</v>
      </c>
      <c r="C36" s="78">
        <v>3390529.018</v>
      </c>
      <c r="D36" s="78">
        <v>207871</v>
      </c>
      <c r="E36" s="138">
        <v>280478</v>
      </c>
      <c r="F36" s="139">
        <v>21117</v>
      </c>
      <c r="G36" s="139">
        <v>321</v>
      </c>
      <c r="H36" s="139">
        <v>18819</v>
      </c>
      <c r="I36" s="139">
        <v>363</v>
      </c>
      <c r="J36" s="132"/>
      <c r="K36" s="132"/>
      <c r="L36" s="77"/>
      <c r="M36" s="132"/>
      <c r="N36" s="132"/>
      <c r="O36" s="132"/>
      <c r="P36" s="132"/>
      <c r="Q36" s="132"/>
      <c r="R36" s="132"/>
      <c r="S36" s="126"/>
    </row>
    <row r="37" spans="1:19" ht="15.75">
      <c r="A37" s="77" t="s">
        <v>26</v>
      </c>
      <c r="B37" s="78">
        <f t="shared" si="0"/>
        <v>1595919.552</v>
      </c>
      <c r="C37" s="78">
        <v>1505814.552</v>
      </c>
      <c r="D37" s="78">
        <v>90105</v>
      </c>
      <c r="E37" s="138">
        <v>162273</v>
      </c>
      <c r="F37" s="139">
        <v>18892</v>
      </c>
      <c r="G37" s="139">
        <v>248</v>
      </c>
      <c r="H37" s="139">
        <v>6683</v>
      </c>
      <c r="I37" s="139">
        <v>341</v>
      </c>
      <c r="J37" s="132"/>
      <c r="K37" s="132"/>
      <c r="L37" s="77"/>
      <c r="M37" s="132"/>
      <c r="N37" s="132"/>
      <c r="O37" s="132"/>
      <c r="P37" s="132"/>
      <c r="Q37" s="132"/>
      <c r="R37" s="132"/>
      <c r="S37" s="126"/>
    </row>
    <row r="38" spans="1:19" ht="15.75">
      <c r="A38" s="77" t="s">
        <v>27</v>
      </c>
      <c r="B38" s="78">
        <f t="shared" si="0"/>
        <v>1359967.834</v>
      </c>
      <c r="C38" s="78">
        <v>1267177.834</v>
      </c>
      <c r="D38" s="78">
        <v>92790</v>
      </c>
      <c r="E38" s="138">
        <v>52894</v>
      </c>
      <c r="F38" s="139">
        <v>20440</v>
      </c>
      <c r="G38" s="139">
        <v>185</v>
      </c>
      <c r="H38" s="139">
        <v>4907</v>
      </c>
      <c r="I38" s="139">
        <v>249</v>
      </c>
      <c r="J38" s="132"/>
      <c r="K38" s="132"/>
      <c r="L38" s="77"/>
      <c r="M38" s="132"/>
      <c r="N38" s="132"/>
      <c r="O38" s="132"/>
      <c r="P38" s="132"/>
      <c r="Q38" s="132"/>
      <c r="R38" s="132"/>
      <c r="S38" s="126"/>
    </row>
    <row r="39" spans="1:19" ht="15.75">
      <c r="A39" s="77" t="s">
        <v>28</v>
      </c>
      <c r="B39" s="78">
        <f t="shared" si="0"/>
        <v>1770580.289</v>
      </c>
      <c r="C39" s="78">
        <v>1591962.289</v>
      </c>
      <c r="D39" s="78">
        <v>178618</v>
      </c>
      <c r="E39" s="138">
        <v>93425</v>
      </c>
      <c r="F39" s="139">
        <v>18575</v>
      </c>
      <c r="G39" s="139">
        <v>198</v>
      </c>
      <c r="H39" s="139">
        <v>9352</v>
      </c>
      <c r="I39" s="139">
        <v>208</v>
      </c>
      <c r="J39" s="132"/>
      <c r="K39" s="132"/>
      <c r="L39" s="77"/>
      <c r="M39" s="132"/>
      <c r="N39" s="132"/>
      <c r="O39" s="132"/>
      <c r="P39" s="132"/>
      <c r="Q39" s="132"/>
      <c r="R39" s="132"/>
      <c r="S39" s="126"/>
    </row>
    <row r="40" spans="1:19" ht="15.75">
      <c r="A40" s="77" t="s">
        <v>29</v>
      </c>
      <c r="B40" s="78">
        <f t="shared" si="0"/>
        <v>6044092.863</v>
      </c>
      <c r="C40" s="78">
        <v>5635532.863</v>
      </c>
      <c r="D40" s="78">
        <v>408560</v>
      </c>
      <c r="E40" s="138">
        <v>68857</v>
      </c>
      <c r="F40" s="139">
        <v>51564</v>
      </c>
      <c r="G40" s="139">
        <v>547</v>
      </c>
      <c r="H40" s="139">
        <v>20627</v>
      </c>
      <c r="I40" s="139">
        <v>580</v>
      </c>
      <c r="J40" s="132"/>
      <c r="K40" s="132"/>
      <c r="L40" s="77"/>
      <c r="M40" s="132"/>
      <c r="N40" s="132"/>
      <c r="O40" s="132"/>
      <c r="P40" s="132"/>
      <c r="Q40" s="132"/>
      <c r="R40" s="132"/>
      <c r="S40" s="126"/>
    </row>
    <row r="41" spans="1:19" ht="15.75">
      <c r="A41" s="77" t="s">
        <v>30</v>
      </c>
      <c r="B41" s="78">
        <f t="shared" si="0"/>
        <v>9938985.533</v>
      </c>
      <c r="C41" s="78">
        <v>8526686.533</v>
      </c>
      <c r="D41" s="78">
        <v>1412299</v>
      </c>
      <c r="E41" s="138">
        <v>474800</v>
      </c>
      <c r="F41" s="139">
        <v>171693</v>
      </c>
      <c r="G41" s="139">
        <v>1035</v>
      </c>
      <c r="H41" s="139">
        <v>79633</v>
      </c>
      <c r="I41" s="139">
        <v>2375</v>
      </c>
      <c r="J41" s="132"/>
      <c r="K41" s="132"/>
      <c r="L41" s="77"/>
      <c r="M41" s="132"/>
      <c r="N41" s="132"/>
      <c r="O41" s="132"/>
      <c r="P41" s="132"/>
      <c r="Q41" s="132"/>
      <c r="R41" s="132"/>
      <c r="S41" s="126"/>
    </row>
    <row r="42" spans="1:19" ht="15.75">
      <c r="A42" s="77" t="s">
        <v>31</v>
      </c>
      <c r="B42" s="78">
        <f t="shared" si="0"/>
        <v>2230682.018</v>
      </c>
      <c r="C42" s="78">
        <v>2078372.018</v>
      </c>
      <c r="D42" s="78">
        <v>152310</v>
      </c>
      <c r="E42" s="138">
        <v>35772</v>
      </c>
      <c r="F42" s="139">
        <v>27271</v>
      </c>
      <c r="G42" s="139">
        <v>258</v>
      </c>
      <c r="H42" s="139">
        <v>13654</v>
      </c>
      <c r="I42" s="139">
        <v>304</v>
      </c>
      <c r="J42" s="132"/>
      <c r="K42" s="132"/>
      <c r="L42" s="77"/>
      <c r="M42" s="132"/>
      <c r="N42" s="132"/>
      <c r="O42" s="132"/>
      <c r="P42" s="132"/>
      <c r="Q42" s="132"/>
      <c r="R42" s="132"/>
      <c r="S42" s="126"/>
    </row>
    <row r="43" spans="1:19" ht="15.75">
      <c r="A43" s="77" t="s">
        <v>32</v>
      </c>
      <c r="B43" s="78">
        <f t="shared" si="0"/>
        <v>1146217.107</v>
      </c>
      <c r="C43" s="78">
        <v>1081123.107</v>
      </c>
      <c r="D43" s="78">
        <v>65094</v>
      </c>
      <c r="E43" s="138">
        <v>103812</v>
      </c>
      <c r="F43" s="139">
        <v>13044</v>
      </c>
      <c r="G43" s="139">
        <v>97</v>
      </c>
      <c r="H43" s="139">
        <v>5203</v>
      </c>
      <c r="I43" s="139">
        <v>139</v>
      </c>
      <c r="J43" s="132"/>
      <c r="K43" s="132"/>
      <c r="L43" s="77"/>
      <c r="M43" s="132"/>
      <c r="N43" s="132"/>
      <c r="O43" s="132"/>
      <c r="P43" s="132"/>
      <c r="Q43" s="132"/>
      <c r="R43" s="132"/>
      <c r="S43" s="126"/>
    </row>
    <row r="44" spans="1:19" ht="15.75">
      <c r="A44" s="77" t="s">
        <v>33</v>
      </c>
      <c r="B44" s="78">
        <f t="shared" si="0"/>
        <v>988544.39</v>
      </c>
      <c r="C44" s="78">
        <v>918375.39</v>
      </c>
      <c r="D44" s="78">
        <v>70169</v>
      </c>
      <c r="E44" s="138">
        <v>15432</v>
      </c>
      <c r="F44" s="139">
        <v>10039</v>
      </c>
      <c r="G44" s="139">
        <v>120</v>
      </c>
      <c r="H44" s="139">
        <v>4664</v>
      </c>
      <c r="I44" s="139">
        <v>194</v>
      </c>
      <c r="J44" s="132"/>
      <c r="K44" s="132"/>
      <c r="L44" s="77"/>
      <c r="M44" s="132"/>
      <c r="N44" s="132"/>
      <c r="O44" s="132"/>
      <c r="P44" s="132"/>
      <c r="Q44" s="132"/>
      <c r="R44" s="132"/>
      <c r="S44" s="126"/>
    </row>
    <row r="45" spans="1:19" ht="15.75">
      <c r="A45" s="77" t="s">
        <v>34</v>
      </c>
      <c r="B45" s="78">
        <f t="shared" si="0"/>
        <v>1088243.528</v>
      </c>
      <c r="C45" s="78">
        <v>989109.528</v>
      </c>
      <c r="D45" s="78">
        <v>99134</v>
      </c>
      <c r="E45" s="138">
        <v>9316</v>
      </c>
      <c r="F45" s="139">
        <v>10129</v>
      </c>
      <c r="G45" s="139">
        <v>143</v>
      </c>
      <c r="H45" s="139">
        <v>4045</v>
      </c>
      <c r="I45" s="139">
        <v>146</v>
      </c>
      <c r="J45" s="132"/>
      <c r="K45" s="132"/>
      <c r="L45" s="77"/>
      <c r="M45" s="132"/>
      <c r="N45" s="132"/>
      <c r="O45" s="132"/>
      <c r="P45" s="132"/>
      <c r="Q45" s="132"/>
      <c r="R45" s="132"/>
      <c r="S45" s="126"/>
    </row>
    <row r="46" spans="1:19" ht="15.75">
      <c r="A46" s="77" t="s">
        <v>10</v>
      </c>
      <c r="B46" s="78">
        <f t="shared" si="0"/>
        <v>2779030.768</v>
      </c>
      <c r="C46" s="78">
        <v>2717837.768</v>
      </c>
      <c r="D46" s="78">
        <v>61193</v>
      </c>
      <c r="E46" s="138">
        <v>33451</v>
      </c>
      <c r="F46" s="139">
        <v>25372</v>
      </c>
      <c r="G46" s="139">
        <v>119</v>
      </c>
      <c r="H46" s="139">
        <v>9769</v>
      </c>
      <c r="I46" s="139">
        <v>245</v>
      </c>
      <c r="J46" s="132"/>
      <c r="K46" s="132"/>
      <c r="L46" s="77"/>
      <c r="M46" s="132"/>
      <c r="N46" s="132"/>
      <c r="O46" s="132"/>
      <c r="P46" s="132"/>
      <c r="Q46" s="132"/>
      <c r="R46" s="132"/>
      <c r="S46" s="126"/>
    </row>
    <row r="47" spans="1:18" ht="18.75" customHeight="1">
      <c r="A47" s="8" t="s">
        <v>35</v>
      </c>
      <c r="B47" s="27">
        <f aca="true" t="shared" si="1" ref="B47:I47">SUM(B9:B46)</f>
        <v>602137763.2610002</v>
      </c>
      <c r="C47" s="27">
        <f t="shared" si="1"/>
        <v>557912257.2609998</v>
      </c>
      <c r="D47" s="27">
        <f t="shared" si="1"/>
        <v>44225506</v>
      </c>
      <c r="E47" s="27">
        <f t="shared" si="1"/>
        <v>3319854</v>
      </c>
      <c r="F47" s="27">
        <f t="shared" si="1"/>
        <v>4170427</v>
      </c>
      <c r="G47" s="27">
        <f t="shared" si="1"/>
        <v>47599</v>
      </c>
      <c r="H47" s="27">
        <f t="shared" si="1"/>
        <v>3679131</v>
      </c>
      <c r="I47" s="27">
        <f t="shared" si="1"/>
        <v>79785</v>
      </c>
      <c r="J47" s="132"/>
      <c r="K47" s="132"/>
      <c r="L47" s="132"/>
      <c r="M47" s="132"/>
      <c r="N47" s="132"/>
      <c r="O47" s="132"/>
      <c r="P47" s="132"/>
      <c r="Q47" s="132"/>
      <c r="R47" s="132"/>
    </row>
    <row r="48" spans="9:11" ht="15.75">
      <c r="I48" s="29"/>
      <c r="J48" s="29"/>
      <c r="K48" s="29"/>
    </row>
    <row r="49" spans="9:11" ht="15.75">
      <c r="I49" s="29"/>
      <c r="J49" s="29"/>
      <c r="K49" s="29"/>
    </row>
    <row r="50" spans="2:11" ht="15.75">
      <c r="B50" s="26"/>
      <c r="C50" s="26"/>
      <c r="D50" s="26"/>
      <c r="F50" s="25"/>
      <c r="G50" s="25"/>
      <c r="I50" s="29"/>
      <c r="J50" s="29"/>
      <c r="K50" s="29"/>
    </row>
    <row r="51" spans="2:11" ht="15.75">
      <c r="B51" s="25"/>
      <c r="C51" s="25"/>
      <c r="D51" s="25"/>
      <c r="I51" s="29"/>
      <c r="J51" s="29"/>
      <c r="K51" s="29"/>
    </row>
    <row r="52" spans="2:11" ht="15.75">
      <c r="B52" s="26"/>
      <c r="C52" s="26"/>
      <c r="D52" s="26"/>
      <c r="I52" s="29"/>
      <c r="J52" s="29"/>
      <c r="K52" s="29"/>
    </row>
    <row r="53" spans="9:11" ht="15.75">
      <c r="I53" s="29"/>
      <c r="J53" s="29"/>
      <c r="K53" s="29"/>
    </row>
    <row r="55" spans="2:4" ht="15.75">
      <c r="B55" s="25"/>
      <c r="C55" s="25"/>
      <c r="D55" s="25"/>
    </row>
  </sheetData>
  <sheetProtection/>
  <mergeCells count="11">
    <mergeCell ref="I5:I6"/>
    <mergeCell ref="A2:I2"/>
    <mergeCell ref="A1:I1"/>
    <mergeCell ref="E5:E6"/>
    <mergeCell ref="F5:F6"/>
    <mergeCell ref="G5:G6"/>
    <mergeCell ref="H5:H6"/>
    <mergeCell ref="B4:D4"/>
    <mergeCell ref="C5:D5"/>
    <mergeCell ref="B5:B6"/>
    <mergeCell ref="A5:A6"/>
  </mergeCells>
  <printOptions gridLines="1" horizontalCentered="1"/>
  <pageMargins left="0.4330708661417323" right="0.2362204724409449" top="0.31496062992125984" bottom="0.15748031496062992" header="0.15748031496062992" footer="0.15748031496062992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669900"/>
  </sheetPr>
  <dimension ref="A1:X37"/>
  <sheetViews>
    <sheetView view="pageBreakPreview" zoomScale="80" zoomScaleNormal="80" zoomScaleSheetLayoutView="80" workbookViewId="0" topLeftCell="A1">
      <selection activeCell="A2" sqref="A2:J2"/>
    </sheetView>
  </sheetViews>
  <sheetFormatPr defaultColWidth="9.00390625" defaultRowHeight="12.75"/>
  <cols>
    <col min="1" max="1" width="44.75390625" style="37" customWidth="1"/>
    <col min="2" max="2" width="16.125" style="36" customWidth="1"/>
    <col min="3" max="3" width="14.625" style="36" customWidth="1"/>
    <col min="4" max="4" width="12.375" style="36" customWidth="1"/>
    <col min="5" max="7" width="12.625" style="36" customWidth="1"/>
    <col min="8" max="9" width="19.75390625" style="36" customWidth="1"/>
    <col min="10" max="10" width="20.00390625" style="36" customWidth="1"/>
    <col min="11" max="14" width="9.125" style="36" customWidth="1"/>
    <col min="15" max="17" width="13.00390625" style="36" bestFit="1" customWidth="1"/>
    <col min="18" max="16384" width="9.125" style="36" customWidth="1"/>
  </cols>
  <sheetData>
    <row r="1" spans="1:10" ht="15.75">
      <c r="A1" s="41"/>
      <c r="B1" s="40"/>
      <c r="C1" s="40"/>
      <c r="D1" s="40"/>
      <c r="E1" s="40"/>
      <c r="F1" s="40"/>
      <c r="G1" s="40"/>
      <c r="H1" s="40"/>
      <c r="I1" s="227" t="s">
        <v>67</v>
      </c>
      <c r="J1" s="227"/>
    </row>
    <row r="2" spans="1:10" ht="16.5">
      <c r="A2" s="226" t="s">
        <v>146</v>
      </c>
      <c r="B2" s="226"/>
      <c r="C2" s="226"/>
      <c r="D2" s="226"/>
      <c r="E2" s="226"/>
      <c r="F2" s="226"/>
      <c r="G2" s="226"/>
      <c r="H2" s="226"/>
      <c r="I2" s="226"/>
      <c r="J2" s="226"/>
    </row>
    <row r="3" spans="1:10" ht="15.75">
      <c r="A3" s="192"/>
      <c r="B3" s="192"/>
      <c r="C3" s="192"/>
      <c r="D3" s="192"/>
      <c r="E3" s="192"/>
      <c r="F3" s="192"/>
      <c r="G3" s="192"/>
      <c r="H3" s="192"/>
      <c r="I3" s="192"/>
      <c r="J3" s="192"/>
    </row>
    <row r="4" spans="1:10" ht="80.25" customHeight="1">
      <c r="A4" s="229" t="s">
        <v>59</v>
      </c>
      <c r="B4" s="229" t="s">
        <v>66</v>
      </c>
      <c r="C4" s="229" t="s">
        <v>152</v>
      </c>
      <c r="D4" s="225" t="s">
        <v>136</v>
      </c>
      <c r="E4" s="225"/>
      <c r="F4" s="225"/>
      <c r="G4" s="225"/>
      <c r="H4" s="225" t="s">
        <v>165</v>
      </c>
      <c r="I4" s="225" t="s">
        <v>142</v>
      </c>
      <c r="J4" s="225" t="s">
        <v>166</v>
      </c>
    </row>
    <row r="5" spans="1:10" ht="15.75" customHeight="1">
      <c r="A5" s="230"/>
      <c r="B5" s="230"/>
      <c r="C5" s="230"/>
      <c r="D5" s="225" t="s">
        <v>163</v>
      </c>
      <c r="E5" s="225" t="s">
        <v>130</v>
      </c>
      <c r="F5" s="225"/>
      <c r="G5" s="225"/>
      <c r="H5" s="225"/>
      <c r="I5" s="225"/>
      <c r="J5" s="225"/>
    </row>
    <row r="6" spans="1:10" ht="32.25" customHeight="1">
      <c r="A6" s="231"/>
      <c r="B6" s="231"/>
      <c r="C6" s="231"/>
      <c r="D6" s="225"/>
      <c r="E6" s="141" t="s">
        <v>132</v>
      </c>
      <c r="F6" s="141" t="s">
        <v>141</v>
      </c>
      <c r="G6" s="141" t="s">
        <v>164</v>
      </c>
      <c r="H6" s="225"/>
      <c r="I6" s="225"/>
      <c r="J6" s="225"/>
    </row>
    <row r="7" spans="1:16" s="38" customFormat="1" ht="15.75">
      <c r="A7" s="39" t="s">
        <v>38</v>
      </c>
      <c r="B7" s="39" t="s">
        <v>39</v>
      </c>
      <c r="C7" s="39" t="s">
        <v>40</v>
      </c>
      <c r="D7" s="39" t="s">
        <v>41</v>
      </c>
      <c r="E7" s="39" t="s">
        <v>42</v>
      </c>
      <c r="F7" s="39" t="s">
        <v>47</v>
      </c>
      <c r="G7" s="39" t="s">
        <v>43</v>
      </c>
      <c r="H7" s="39" t="s">
        <v>133</v>
      </c>
      <c r="I7" s="39" t="s">
        <v>134</v>
      </c>
      <c r="J7" s="39" t="s">
        <v>135</v>
      </c>
      <c r="N7" s="36"/>
      <c r="O7" s="36"/>
      <c r="P7" s="36"/>
    </row>
    <row r="8" spans="1:24" ht="24" customHeight="1">
      <c r="A8" s="83" t="s">
        <v>65</v>
      </c>
      <c r="B8" s="84">
        <f>SUM('База налогов'!B9:B18)</f>
        <v>520038052.5009999</v>
      </c>
      <c r="C8" s="84">
        <v>18773543.696420003</v>
      </c>
      <c r="D8" s="142">
        <v>1</v>
      </c>
      <c r="E8" s="142">
        <v>1</v>
      </c>
      <c r="F8" s="142">
        <v>1</v>
      </c>
      <c r="G8" s="142">
        <v>1</v>
      </c>
      <c r="H8" s="144">
        <f>C8/B8*D8*E8</f>
        <v>0.036100326901335564</v>
      </c>
      <c r="I8" s="144">
        <f aca="true" t="shared" si="0" ref="I8:I16">H8*F8</f>
        <v>0.036100326901335564</v>
      </c>
      <c r="J8" s="144">
        <f aca="true" t="shared" si="1" ref="J8:J16">I8*G8</f>
        <v>0.036100326901335564</v>
      </c>
      <c r="O8" s="129"/>
      <c r="V8" s="136"/>
      <c r="W8" s="136"/>
      <c r="X8" s="136"/>
    </row>
    <row r="9" spans="1:24" ht="38.25" customHeight="1">
      <c r="A9" s="83" t="s">
        <v>64</v>
      </c>
      <c r="B9" s="84">
        <f>SUM('База налогов'!B20:B46)</f>
        <v>82099710.75999998</v>
      </c>
      <c r="C9" s="84">
        <v>4001138.4440799993</v>
      </c>
      <c r="D9" s="143">
        <v>1</v>
      </c>
      <c r="E9" s="143">
        <v>1</v>
      </c>
      <c r="F9" s="143">
        <v>1</v>
      </c>
      <c r="G9" s="143">
        <v>1</v>
      </c>
      <c r="H9" s="144">
        <f aca="true" t="shared" si="2" ref="H9:H16">C9/B9*D9*E9</f>
        <v>0.04873511011234165</v>
      </c>
      <c r="I9" s="144">
        <f t="shared" si="0"/>
        <v>0.04873511011234165</v>
      </c>
      <c r="J9" s="144">
        <f t="shared" si="1"/>
        <v>0.04873511011234165</v>
      </c>
      <c r="O9" s="129"/>
      <c r="V9" s="136"/>
      <c r="W9" s="136"/>
      <c r="X9" s="136"/>
    </row>
    <row r="10" spans="1:24" ht="21" customHeight="1">
      <c r="A10" s="124" t="s">
        <v>63</v>
      </c>
      <c r="B10" s="84">
        <f>'База налогов'!E47</f>
        <v>3319854</v>
      </c>
      <c r="C10" s="84">
        <v>355382.10449999996</v>
      </c>
      <c r="D10" s="143">
        <v>1</v>
      </c>
      <c r="E10" s="143">
        <v>1</v>
      </c>
      <c r="F10" s="143">
        <v>1</v>
      </c>
      <c r="G10" s="143">
        <v>1</v>
      </c>
      <c r="H10" s="144">
        <f t="shared" si="2"/>
        <v>0.10704751007122601</v>
      </c>
      <c r="I10" s="144">
        <f t="shared" si="0"/>
        <v>0.10704751007122601</v>
      </c>
      <c r="J10" s="144">
        <f t="shared" si="1"/>
        <v>0.10704751007122601</v>
      </c>
      <c r="O10" s="129"/>
      <c r="V10" s="136"/>
      <c r="W10" s="136"/>
      <c r="X10" s="136"/>
    </row>
    <row r="11" spans="1:24" ht="18.75" customHeight="1">
      <c r="A11" s="124" t="s">
        <v>62</v>
      </c>
      <c r="B11" s="84">
        <f>SUM('База налогов'!F9:F18)</f>
        <v>3139224</v>
      </c>
      <c r="C11" s="84">
        <v>3065954.3491000007</v>
      </c>
      <c r="D11" s="143">
        <v>1</v>
      </c>
      <c r="E11" s="143">
        <v>1</v>
      </c>
      <c r="F11" s="143">
        <v>1</v>
      </c>
      <c r="G11" s="143">
        <v>1</v>
      </c>
      <c r="H11" s="144">
        <f t="shared" si="2"/>
        <v>0.9766599481591631</v>
      </c>
      <c r="I11" s="144">
        <f t="shared" si="0"/>
        <v>0.9766599481591631</v>
      </c>
      <c r="J11" s="144">
        <f t="shared" si="1"/>
        <v>0.9766599481591631</v>
      </c>
      <c r="O11" s="129"/>
      <c r="V11" s="136"/>
      <c r="W11" s="136"/>
      <c r="X11" s="136"/>
    </row>
    <row r="12" spans="1:24" ht="18.75" customHeight="1">
      <c r="A12" s="124" t="s">
        <v>61</v>
      </c>
      <c r="B12" s="84">
        <f>SUM('База налогов'!F20:F46)</f>
        <v>1031203</v>
      </c>
      <c r="C12" s="84">
        <v>870189.26872</v>
      </c>
      <c r="D12" s="143">
        <v>1</v>
      </c>
      <c r="E12" s="143">
        <v>1</v>
      </c>
      <c r="F12" s="143">
        <v>1</v>
      </c>
      <c r="G12" s="143">
        <v>1</v>
      </c>
      <c r="H12" s="144">
        <f t="shared" si="2"/>
        <v>0.8438583564244868</v>
      </c>
      <c r="I12" s="144">
        <f t="shared" si="0"/>
        <v>0.8438583564244868</v>
      </c>
      <c r="J12" s="144">
        <f t="shared" si="1"/>
        <v>0.8438583564244868</v>
      </c>
      <c r="O12" s="129"/>
      <c r="V12" s="136"/>
      <c r="W12" s="136"/>
      <c r="X12" s="136"/>
    </row>
    <row r="13" spans="1:24" ht="45.75" customHeight="1">
      <c r="A13" s="124" t="s">
        <v>57</v>
      </c>
      <c r="B13" s="84">
        <f>'База налогов'!G47</f>
        <v>47599</v>
      </c>
      <c r="C13" s="84">
        <v>371709.80001</v>
      </c>
      <c r="D13" s="143">
        <v>1</v>
      </c>
      <c r="E13" s="143">
        <v>1</v>
      </c>
      <c r="F13" s="143">
        <v>1</v>
      </c>
      <c r="G13" s="143">
        <v>1</v>
      </c>
      <c r="H13" s="144">
        <f t="shared" si="2"/>
        <v>7.809193470661149</v>
      </c>
      <c r="I13" s="144">
        <f t="shared" si="0"/>
        <v>7.809193470661149</v>
      </c>
      <c r="J13" s="144">
        <f t="shared" si="1"/>
        <v>7.809193470661149</v>
      </c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</row>
    <row r="14" spans="1:24" ht="16.5">
      <c r="A14" s="124" t="s">
        <v>122</v>
      </c>
      <c r="B14" s="84">
        <f>'База налогов'!H47</f>
        <v>3679131</v>
      </c>
      <c r="C14" s="84">
        <v>2784676.8785099997</v>
      </c>
      <c r="D14" s="143">
        <v>1</v>
      </c>
      <c r="E14" s="143">
        <v>1</v>
      </c>
      <c r="F14" s="143">
        <v>1</v>
      </c>
      <c r="G14" s="143">
        <v>1</v>
      </c>
      <c r="H14" s="144">
        <f t="shared" si="2"/>
        <v>0.7568844051788316</v>
      </c>
      <c r="I14" s="144">
        <f t="shared" si="0"/>
        <v>0.7568844051788316</v>
      </c>
      <c r="J14" s="144">
        <f t="shared" si="1"/>
        <v>0.7568844051788316</v>
      </c>
      <c r="K14" s="120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spans="1:24" ht="47.25">
      <c r="A15" s="124" t="s">
        <v>162</v>
      </c>
      <c r="B15" s="84">
        <f>SUM('База налогов'!I9:I18)</f>
        <v>67758</v>
      </c>
      <c r="C15" s="84">
        <v>1849901.1146600004</v>
      </c>
      <c r="D15" s="143">
        <v>1</v>
      </c>
      <c r="E15" s="143">
        <v>1</v>
      </c>
      <c r="F15" s="143">
        <v>1</v>
      </c>
      <c r="G15" s="143">
        <v>1</v>
      </c>
      <c r="H15" s="144">
        <f t="shared" si="2"/>
        <v>27.301589696567202</v>
      </c>
      <c r="I15" s="144">
        <f t="shared" si="0"/>
        <v>27.301589696567202</v>
      </c>
      <c r="J15" s="144">
        <f t="shared" si="1"/>
        <v>27.301589696567202</v>
      </c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</row>
    <row r="16" spans="1:24" ht="47.25">
      <c r="A16" s="124" t="s">
        <v>129</v>
      </c>
      <c r="B16" s="84">
        <f>SUM('База налогов'!I20:I46)</f>
        <v>12027</v>
      </c>
      <c r="C16" s="84">
        <v>516514.13678999996</v>
      </c>
      <c r="D16" s="143">
        <v>1</v>
      </c>
      <c r="E16" s="143">
        <v>1</v>
      </c>
      <c r="F16" s="143">
        <v>1</v>
      </c>
      <c r="G16" s="143">
        <v>1</v>
      </c>
      <c r="H16" s="144">
        <f t="shared" si="2"/>
        <v>42.94621574706909</v>
      </c>
      <c r="I16" s="144">
        <f t="shared" si="0"/>
        <v>42.94621574706909</v>
      </c>
      <c r="J16" s="144">
        <f t="shared" si="1"/>
        <v>42.94621574706909</v>
      </c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</row>
    <row r="17" spans="1:24" ht="15.75">
      <c r="A17" s="228"/>
      <c r="B17" s="228"/>
      <c r="C17" s="228"/>
      <c r="D17" s="228"/>
      <c r="E17" s="228"/>
      <c r="F17" s="228"/>
      <c r="G17" s="228"/>
      <c r="H17" s="228"/>
      <c r="I17" s="228"/>
      <c r="J17" s="228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</row>
    <row r="18" spans="2:24" ht="15.75">
      <c r="B18" s="37"/>
      <c r="C18" s="37"/>
      <c r="D18" s="37"/>
      <c r="E18" s="37"/>
      <c r="F18" s="37"/>
      <c r="G18" s="37"/>
      <c r="H18" s="37"/>
      <c r="I18" s="37"/>
      <c r="J18" s="37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</row>
    <row r="19" spans="14:24" ht="15.75"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</row>
    <row r="20" spans="7:24" ht="15.75">
      <c r="G20" s="131"/>
      <c r="H20" s="131"/>
      <c r="I20" s="131"/>
      <c r="J20" s="131"/>
      <c r="K20" s="131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</row>
    <row r="21" spans="7:24" ht="15.75">
      <c r="G21" s="131"/>
      <c r="H21" s="131"/>
      <c r="I21" s="131"/>
      <c r="J21" s="131"/>
      <c r="K21" s="131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</row>
    <row r="25" spans="8:9" ht="15.75">
      <c r="H25" s="136"/>
      <c r="I25" s="136"/>
    </row>
    <row r="26" spans="8:9" ht="15.75">
      <c r="H26" s="136"/>
      <c r="I26" s="136"/>
    </row>
    <row r="27" spans="8:9" ht="15.75">
      <c r="H27" s="136"/>
      <c r="I27" s="136"/>
    </row>
    <row r="28" spans="8:9" ht="15.75">
      <c r="H28" s="136"/>
      <c r="I28" s="136"/>
    </row>
    <row r="29" spans="8:9" ht="15.75">
      <c r="H29" s="136"/>
      <c r="I29" s="136"/>
    </row>
    <row r="30" spans="8:9" ht="15.75">
      <c r="H30" s="136"/>
      <c r="I30" s="136"/>
    </row>
    <row r="31" spans="8:9" ht="15.75">
      <c r="H31" s="136"/>
      <c r="I31" s="136"/>
    </row>
    <row r="32" spans="8:9" ht="15.75">
      <c r="H32" s="136"/>
      <c r="I32" s="136"/>
    </row>
    <row r="33" spans="8:9" ht="15.75">
      <c r="H33" s="136"/>
      <c r="I33" s="136"/>
    </row>
    <row r="34" spans="8:9" ht="15.75">
      <c r="H34" s="136"/>
      <c r="I34" s="136"/>
    </row>
    <row r="35" spans="8:9" ht="15.75">
      <c r="H35" s="136"/>
      <c r="I35" s="136"/>
    </row>
    <row r="36" spans="8:9" ht="15.75">
      <c r="H36" s="136"/>
      <c r="I36" s="136"/>
    </row>
    <row r="37" spans="8:9" ht="15.75">
      <c r="H37" s="136"/>
      <c r="I37" s="136"/>
    </row>
  </sheetData>
  <sheetProtection/>
  <mergeCells count="12">
    <mergeCell ref="C4:C6"/>
    <mergeCell ref="E5:G5"/>
    <mergeCell ref="D4:G4"/>
    <mergeCell ref="J4:J6"/>
    <mergeCell ref="A2:J2"/>
    <mergeCell ref="I1:J1"/>
    <mergeCell ref="A17:J17"/>
    <mergeCell ref="B4:B6"/>
    <mergeCell ref="A4:A6"/>
    <mergeCell ref="H4:H6"/>
    <mergeCell ref="I4:I6"/>
    <mergeCell ref="D5:D6"/>
  </mergeCells>
  <printOptions gridLines="1" horizontalCentered="1"/>
  <pageMargins left="0.2362204724409449" right="0.35433070866141736" top="0.35433070866141736" bottom="0.1968503937007874" header="0.2362204724409449" footer="0.2362204724409449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rgb="FF003300"/>
    <pageSetUpPr fitToPage="1"/>
  </sheetPr>
  <dimension ref="A1:R49"/>
  <sheetViews>
    <sheetView view="pageBreakPreview" zoomScale="90" zoomScaleNormal="75" zoomScaleSheetLayoutView="90" zoomScalePageLayoutView="0" workbookViewId="0" topLeftCell="A1">
      <pane xSplit="1" ySplit="5" topLeftCell="B30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3" sqref="A3:K3"/>
    </sheetView>
  </sheetViews>
  <sheetFormatPr defaultColWidth="9.00390625" defaultRowHeight="12.75"/>
  <cols>
    <col min="1" max="1" width="18.125" style="42" customWidth="1"/>
    <col min="2" max="2" width="15.625" style="42" customWidth="1"/>
    <col min="3" max="3" width="11.75390625" style="42" customWidth="1"/>
    <col min="4" max="4" width="17.125" style="42" customWidth="1"/>
    <col min="5" max="5" width="12.625" style="42" customWidth="1"/>
    <col min="6" max="6" width="11.25390625" style="42" customWidth="1"/>
    <col min="7" max="7" width="10.00390625" style="42" customWidth="1"/>
    <col min="8" max="8" width="12.875" style="42" customWidth="1"/>
    <col min="9" max="9" width="18.375" style="42" customWidth="1"/>
    <col min="10" max="10" width="14.875" style="42" customWidth="1"/>
    <col min="11" max="11" width="18.125" style="42" customWidth="1"/>
    <col min="12" max="16384" width="9.125" style="42" customWidth="1"/>
  </cols>
  <sheetData>
    <row r="1" spans="1:11" ht="15.75">
      <c r="A1" s="182"/>
      <c r="B1" s="183"/>
      <c r="C1" s="183"/>
      <c r="D1" s="183"/>
      <c r="E1" s="183"/>
      <c r="F1" s="183"/>
      <c r="G1" s="184"/>
      <c r="H1" s="183"/>
      <c r="I1" s="183"/>
      <c r="J1" s="183"/>
      <c r="K1" s="185" t="s">
        <v>97</v>
      </c>
    </row>
    <row r="2" spans="1:11" ht="10.5" customHeight="1">
      <c r="A2" s="232"/>
      <c r="B2" s="233"/>
      <c r="C2" s="233"/>
      <c r="D2" s="233"/>
      <c r="E2" s="233"/>
      <c r="F2" s="233"/>
      <c r="G2" s="233"/>
      <c r="H2" s="186"/>
      <c r="I2" s="186"/>
      <c r="J2" s="186"/>
      <c r="K2" s="187"/>
    </row>
    <row r="3" spans="1:11" s="48" customFormat="1" ht="15.75">
      <c r="A3" s="234" t="s">
        <v>181</v>
      </c>
      <c r="B3" s="235"/>
      <c r="C3" s="235"/>
      <c r="D3" s="235"/>
      <c r="E3" s="235"/>
      <c r="F3" s="235"/>
      <c r="G3" s="235"/>
      <c r="H3" s="235"/>
      <c r="I3" s="235"/>
      <c r="J3" s="235"/>
      <c r="K3" s="236"/>
    </row>
    <row r="4" spans="1:11" s="48" customFormat="1" ht="15.75">
      <c r="A4" s="188"/>
      <c r="B4" s="181"/>
      <c r="C4" s="181"/>
      <c r="D4" s="181"/>
      <c r="E4" s="181"/>
      <c r="F4" s="181"/>
      <c r="G4" s="181"/>
      <c r="H4" s="181"/>
      <c r="I4" s="181"/>
      <c r="J4" s="181"/>
      <c r="K4" s="189" t="s">
        <v>144</v>
      </c>
    </row>
    <row r="5" spans="1:11" s="48" customFormat="1" ht="113.25" customHeight="1">
      <c r="A5" s="52" t="s">
        <v>49</v>
      </c>
      <c r="B5" s="52" t="s">
        <v>96</v>
      </c>
      <c r="C5" s="53" t="s">
        <v>95</v>
      </c>
      <c r="D5" s="52" t="s">
        <v>94</v>
      </c>
      <c r="E5" s="51" t="s">
        <v>93</v>
      </c>
      <c r="F5" s="51" t="s">
        <v>92</v>
      </c>
      <c r="G5" s="52" t="s">
        <v>114</v>
      </c>
      <c r="H5" s="51" t="s">
        <v>91</v>
      </c>
      <c r="I5" s="51" t="s">
        <v>57</v>
      </c>
      <c r="J5" s="51" t="s">
        <v>115</v>
      </c>
      <c r="K5" s="51" t="s">
        <v>128</v>
      </c>
    </row>
    <row r="6" spans="1:11" s="48" customFormat="1" ht="15.75">
      <c r="A6" s="50" t="s">
        <v>38</v>
      </c>
      <c r="B6" s="50" t="s">
        <v>138</v>
      </c>
      <c r="C6" s="50" t="s">
        <v>40</v>
      </c>
      <c r="D6" s="50" t="s">
        <v>139</v>
      </c>
      <c r="E6" s="50" t="s">
        <v>42</v>
      </c>
      <c r="F6" s="50" t="s">
        <v>47</v>
      </c>
      <c r="G6" s="50" t="s">
        <v>43</v>
      </c>
      <c r="H6" s="50" t="s">
        <v>45</v>
      </c>
      <c r="I6" s="50" t="s">
        <v>51</v>
      </c>
      <c r="J6" s="50" t="s">
        <v>52</v>
      </c>
      <c r="K6" s="50" t="s">
        <v>53</v>
      </c>
    </row>
    <row r="7" spans="1:11" s="49" customFormat="1" ht="15.75">
      <c r="A7" s="170" t="s">
        <v>117</v>
      </c>
      <c r="B7" s="80"/>
      <c r="C7" s="80"/>
      <c r="D7" s="80"/>
      <c r="E7" s="80"/>
      <c r="F7" s="80"/>
      <c r="G7" s="80"/>
      <c r="H7" s="80"/>
      <c r="I7" s="80"/>
      <c r="K7" s="165"/>
    </row>
    <row r="8" spans="1:11" s="48" customFormat="1" ht="15.75">
      <c r="A8" s="190" t="s">
        <v>0</v>
      </c>
      <c r="B8" s="80">
        <f>D8-C8</f>
        <v>15989780.453441212</v>
      </c>
      <c r="C8" s="81"/>
      <c r="D8" s="80">
        <f>SUM(E8:K8)</f>
        <v>15989780.453441212</v>
      </c>
      <c r="E8" s="80">
        <f>'Репрез.ставки'!$H$8*'База налогов'!B9</f>
        <v>11483123.86768817</v>
      </c>
      <c r="F8" s="80">
        <v>0</v>
      </c>
      <c r="G8" s="80">
        <f>'Репрез.ставки'!$H$10*'База налогов'!E9</f>
        <v>7121.656750018524</v>
      </c>
      <c r="H8" s="80">
        <f>'Репрез.ставки'!$H$11*'База налогов'!F9</f>
        <v>1812004.0384393325</v>
      </c>
      <c r="I8" s="80">
        <f>'Репрез.ставки'!$H$13*'База налогов'!G9</f>
        <v>159401.25712313538</v>
      </c>
      <c r="J8" s="80">
        <f>'Репрез.ставки'!$H$14*'База налогов'!H9</f>
        <v>1465797.4767574288</v>
      </c>
      <c r="K8" s="191">
        <f>'Репрез.ставки'!$H$15*'База налогов'!I9</f>
        <v>1062332.1566831265</v>
      </c>
    </row>
    <row r="9" spans="1:18" ht="15.75">
      <c r="A9" s="190" t="s">
        <v>1</v>
      </c>
      <c r="B9" s="80">
        <f aca="true" t="shared" si="0" ref="B9:B45">D9-C9</f>
        <v>6377096.048359808</v>
      </c>
      <c r="C9" s="81"/>
      <c r="D9" s="80">
        <f aca="true" t="shared" si="1" ref="D9:D45">SUM(E9:K9)</f>
        <v>6377096.048359808</v>
      </c>
      <c r="E9" s="80">
        <f>'Репрез.ставки'!$H$8*'База налогов'!B10</f>
        <v>4335341.504444457</v>
      </c>
      <c r="F9" s="80">
        <v>0</v>
      </c>
      <c r="G9" s="80">
        <f>'Репрез.ставки'!$H$10*'База налогов'!E10</f>
        <v>6504.741949478049</v>
      </c>
      <c r="H9" s="80">
        <f>'Репрез.ставки'!$H$11*'База налогов'!F10</f>
        <v>720494.7403363407</v>
      </c>
      <c r="I9" s="80">
        <f>'Репрез.ставки'!$H$13*'База налогов'!G10</f>
        <v>85534.09608415156</v>
      </c>
      <c r="J9" s="80">
        <f>'Репрез.ставки'!$H$14*'База налогов'!H10</f>
        <v>702627.9034779923</v>
      </c>
      <c r="K9" s="191">
        <f>'Репрез.ставки'!$H$15*'База налогов'!I10</f>
        <v>526593.0620673882</v>
      </c>
      <c r="L9" s="48"/>
      <c r="M9" s="48"/>
      <c r="N9" s="48"/>
      <c r="O9" s="48"/>
      <c r="P9" s="48"/>
      <c r="Q9" s="48"/>
      <c r="R9" s="48"/>
    </row>
    <row r="10" spans="1:18" ht="15.75">
      <c r="A10" s="190" t="s">
        <v>2</v>
      </c>
      <c r="B10" s="80">
        <f t="shared" si="0"/>
        <v>1258580.0617761756</v>
      </c>
      <c r="C10" s="81"/>
      <c r="D10" s="80">
        <f t="shared" si="1"/>
        <v>1258580.0617761756</v>
      </c>
      <c r="E10" s="80">
        <f>'Репрез.ставки'!$H$8*'База налогов'!B11</f>
        <v>928864.5665565372</v>
      </c>
      <c r="F10" s="80">
        <v>0</v>
      </c>
      <c r="G10" s="80">
        <f>'Репрез.ставки'!$H$10*'База налогов'!E11</f>
        <v>691.3128200399776</v>
      </c>
      <c r="H10" s="80">
        <f>'Репрез.ставки'!$H$11*'База налогов'!F11</f>
        <v>133428.35213766037</v>
      </c>
      <c r="I10" s="80">
        <f>'Репрез.ставки'!$H$13*'База налогов'!G11</f>
        <v>18827.96545776403</v>
      </c>
      <c r="J10" s="80">
        <f>'Репрез.ставки'!$H$14*'База налогов'!H11</f>
        <v>91532.30177149164</v>
      </c>
      <c r="K10" s="191">
        <f>'Репрез.ставки'!$H$15*'База налогов'!I11</f>
        <v>85235.56303268281</v>
      </c>
      <c r="L10" s="48"/>
      <c r="M10" s="48"/>
      <c r="N10" s="48"/>
      <c r="O10" s="48"/>
      <c r="P10" s="48"/>
      <c r="Q10" s="48"/>
      <c r="R10" s="48"/>
    </row>
    <row r="11" spans="1:18" ht="15.75">
      <c r="A11" s="190" t="s">
        <v>11</v>
      </c>
      <c r="B11" s="80">
        <f t="shared" si="0"/>
        <v>1076586.4079419519</v>
      </c>
      <c r="C11" s="81"/>
      <c r="D11" s="80">
        <f t="shared" si="1"/>
        <v>1076586.4079419519</v>
      </c>
      <c r="E11" s="80">
        <f>'Репрез.ставки'!$H$8*'База налогов'!B12</f>
        <v>759835.6200906414</v>
      </c>
      <c r="F11" s="80">
        <v>0</v>
      </c>
      <c r="G11" s="80">
        <f>'Репрез.ставки'!$H$10*'База налогов'!E12</f>
        <v>824.1587800383691</v>
      </c>
      <c r="H11" s="80">
        <f>'Репрез.ставки'!$H$11*'База налогов'!F12</f>
        <v>171508.32351638615</v>
      </c>
      <c r="I11" s="80">
        <f>'Репрез.ставки'!$H$13*'База налогов'!G12</f>
        <v>12049.585525230152</v>
      </c>
      <c r="J11" s="80">
        <f>'Репрез.ставки'!$H$14*'База налогов'!H12</f>
        <v>81888.08068070297</v>
      </c>
      <c r="K11" s="191">
        <f>'Репрез.ставки'!$H$15*'База налогов'!I12</f>
        <v>50480.639348952755</v>
      </c>
      <c r="L11" s="48"/>
      <c r="M11" s="48"/>
      <c r="N11" s="48"/>
      <c r="O11" s="48"/>
      <c r="P11" s="48"/>
      <c r="Q11" s="48"/>
      <c r="R11" s="48"/>
    </row>
    <row r="12" spans="1:18" ht="15.75">
      <c r="A12" s="190" t="s">
        <v>3</v>
      </c>
      <c r="B12" s="80">
        <f t="shared" si="0"/>
        <v>359903.4708063725</v>
      </c>
      <c r="C12" s="81"/>
      <c r="D12" s="80">
        <f t="shared" si="1"/>
        <v>359903.4708063725</v>
      </c>
      <c r="E12" s="80">
        <f>'Репрез.ставки'!$H$8*'База налогов'!B13</f>
        <v>245660.87348322634</v>
      </c>
      <c r="F12" s="80">
        <v>0</v>
      </c>
      <c r="G12" s="80">
        <f>'Репрез.ставки'!$H$10*'База налогов'!E13</f>
        <v>260.5536395133641</v>
      </c>
      <c r="H12" s="80">
        <f>'Репрез.ставки'!$H$11*'База налогов'!F13</f>
        <v>48691.38171547508</v>
      </c>
      <c r="I12" s="80">
        <f>'Репрез.ставки'!$H$13*'База налогов'!G13</f>
        <v>9699.018290561147</v>
      </c>
      <c r="J12" s="80">
        <f>'Репрез.ставки'!$H$14*'База налогов'!H13</f>
        <v>31757.355872493416</v>
      </c>
      <c r="K12" s="191">
        <f>'Репрез.ставки'!$H$15*'База налогов'!I13</f>
        <v>23834.287805103166</v>
      </c>
      <c r="L12" s="48"/>
      <c r="M12" s="48"/>
      <c r="N12" s="48"/>
      <c r="O12" s="48"/>
      <c r="P12" s="48"/>
      <c r="Q12" s="48"/>
      <c r="R12" s="48"/>
    </row>
    <row r="13" spans="1:18" ht="15.75">
      <c r="A13" s="190" t="s">
        <v>4</v>
      </c>
      <c r="B13" s="80">
        <f t="shared" si="0"/>
        <v>403766.4501977052</v>
      </c>
      <c r="C13" s="81"/>
      <c r="D13" s="80">
        <f t="shared" si="1"/>
        <v>403766.4501977052</v>
      </c>
      <c r="E13" s="80">
        <f>'Репрез.ставки'!$H$8*'База налогов'!B14</f>
        <v>315343.51118166355</v>
      </c>
      <c r="F13" s="80">
        <v>0</v>
      </c>
      <c r="G13" s="80">
        <f>'Репрез.ставки'!$H$10*'База налогов'!E14</f>
        <v>141.83795084437446</v>
      </c>
      <c r="H13" s="80">
        <f>'Репрез.ставки'!$H$11*'База налогов'!F14</f>
        <v>39299.81965397656</v>
      </c>
      <c r="I13" s="80">
        <f>'Репрез.ставки'!$H$13*'База налогов'!G14</f>
        <v>4732.371243220656</v>
      </c>
      <c r="J13" s="80">
        <f>'Репрез.ставки'!$H$14*'База налогов'!H14</f>
        <v>24291.448099809422</v>
      </c>
      <c r="K13" s="191">
        <f>'Репрез.ставки'!$H$15*'База налогов'!I14</f>
        <v>19957.462068190624</v>
      </c>
      <c r="L13" s="48"/>
      <c r="M13" s="48"/>
      <c r="N13" s="48"/>
      <c r="O13" s="48"/>
      <c r="P13" s="48"/>
      <c r="Q13" s="48"/>
      <c r="R13" s="48"/>
    </row>
    <row r="14" spans="1:18" ht="15.75">
      <c r="A14" s="190" t="s">
        <v>56</v>
      </c>
      <c r="B14" s="80">
        <f t="shared" si="0"/>
        <v>372982.3812989904</v>
      </c>
      <c r="C14" s="81"/>
      <c r="D14" s="80">
        <f t="shared" si="1"/>
        <v>372982.3812989904</v>
      </c>
      <c r="E14" s="80">
        <f>'Репрез.ставки'!$H$8*'База налогов'!B15</f>
        <v>259151.22186284236</v>
      </c>
      <c r="F14" s="80">
        <v>0</v>
      </c>
      <c r="G14" s="80">
        <f>'Репрез.ставки'!$H$10*'База налогов'!E15</f>
        <v>23.978642255954625</v>
      </c>
      <c r="H14" s="80">
        <f>'Репрез.ставки'!$H$11*'База налогов'!F15</f>
        <v>49993.26942637124</v>
      </c>
      <c r="I14" s="80">
        <f>'Репрез.ставки'!$H$13*'База налогов'!G15</f>
        <v>5927.177844231812</v>
      </c>
      <c r="J14" s="80">
        <f>'Репрез.ставки'!$H$14*'База налогов'!H15</f>
        <v>29329.270700679725</v>
      </c>
      <c r="K14" s="191">
        <f>'Репрез.ставки'!$H$15*'База налогов'!I15</f>
        <v>28557.462822609294</v>
      </c>
      <c r="L14" s="48"/>
      <c r="M14" s="48"/>
      <c r="N14" s="48"/>
      <c r="O14" s="48"/>
      <c r="P14" s="48"/>
      <c r="Q14" s="48"/>
      <c r="R14" s="48"/>
    </row>
    <row r="15" spans="1:18" ht="15.75">
      <c r="A15" s="190" t="s">
        <v>5</v>
      </c>
      <c r="B15" s="80">
        <f t="shared" si="0"/>
        <v>108365.94366983295</v>
      </c>
      <c r="C15" s="81"/>
      <c r="D15" s="80">
        <f t="shared" si="1"/>
        <v>108365.94366983295</v>
      </c>
      <c r="E15" s="80">
        <f>'Репрез.ставки'!$H$8*'База налогов'!B16</f>
        <v>73524.55614537901</v>
      </c>
      <c r="F15" s="80">
        <v>0</v>
      </c>
      <c r="G15" s="80">
        <f>'Репрез.ставки'!$H$10*'База налогов'!E16</f>
        <v>0</v>
      </c>
      <c r="H15" s="80">
        <f>'Репрез.ставки'!$H$11*'База налогов'!F16</f>
        <v>21509.958698257407</v>
      </c>
      <c r="I15" s="80">
        <f>'Репрез.ставки'!$H$13*'База налогов'!G16</f>
        <v>1210.424987952478</v>
      </c>
      <c r="J15" s="80">
        <f>'Репрез.ставки'!$H$14*'База налогов'!H16</f>
        <v>6223.860463785532</v>
      </c>
      <c r="K15" s="191">
        <f>'Репрез.ставки'!$H$15*'База налогов'!I16</f>
        <v>5897.143374458516</v>
      </c>
      <c r="L15" s="48"/>
      <c r="M15" s="48"/>
      <c r="N15" s="48"/>
      <c r="O15" s="48"/>
      <c r="P15" s="48"/>
      <c r="Q15" s="48"/>
      <c r="R15" s="48"/>
    </row>
    <row r="16" spans="1:18" ht="15.75">
      <c r="A16" s="190" t="s">
        <v>6</v>
      </c>
      <c r="B16" s="80">
        <f t="shared" si="0"/>
        <v>399030.5825695258</v>
      </c>
      <c r="C16" s="81"/>
      <c r="D16" s="80">
        <f t="shared" si="1"/>
        <v>399030.5825695258</v>
      </c>
      <c r="E16" s="80">
        <f>'Репрез.ставки'!$H$8*'База налогов'!B17</f>
        <v>257782.70067129485</v>
      </c>
      <c r="F16" s="80">
        <v>0</v>
      </c>
      <c r="G16" s="80">
        <f>'Репрез.ставки'!$H$10*'База налогов'!E17</f>
        <v>1392.0458209662231</v>
      </c>
      <c r="H16" s="80">
        <f>'Репрез.ставки'!$H$11*'База налогов'!F17</f>
        <v>54499.57842717762</v>
      </c>
      <c r="I16" s="80">
        <f>'Репрез.ставки'!$H$13*'База налогов'!G17</f>
        <v>8387.073787490073</v>
      </c>
      <c r="J16" s="80">
        <f>'Репрез.ставки'!$H$14*'База налогов'!H17</f>
        <v>42705.688793405214</v>
      </c>
      <c r="K16" s="191">
        <f>'Репрез.ставки'!$H$15*'База налогов'!I17</f>
        <v>34263.49506919184</v>
      </c>
      <c r="L16" s="48"/>
      <c r="M16" s="48"/>
      <c r="N16" s="48"/>
      <c r="O16" s="48"/>
      <c r="P16" s="48"/>
      <c r="Q16" s="48"/>
      <c r="R16" s="48"/>
    </row>
    <row r="17" spans="1:18" ht="15.75">
      <c r="A17" s="190" t="s">
        <v>13</v>
      </c>
      <c r="B17" s="80">
        <f t="shared" si="0"/>
        <v>159078.32862835095</v>
      </c>
      <c r="C17" s="81"/>
      <c r="D17" s="80">
        <f t="shared" si="1"/>
        <v>159078.32862835095</v>
      </c>
      <c r="E17" s="80">
        <f>'Репрез.ставки'!$H$8*'База налогов'!B18</f>
        <v>114915.27429579421</v>
      </c>
      <c r="F17" s="80">
        <v>0</v>
      </c>
      <c r="G17" s="80">
        <f>'Репрез.ставки'!$H$10*'База налогов'!E18</f>
        <v>1418.486555953816</v>
      </c>
      <c r="H17" s="80">
        <f>'Репрез.ставки'!$H$11*'База налогов'!F18</f>
        <v>14524.886749023073</v>
      </c>
      <c r="I17" s="80">
        <f>'Репрез.ставки'!$H$13*'База налогов'!G18</f>
        <v>2553.6062649061955</v>
      </c>
      <c r="J17" s="80">
        <f>'Репрез.ставки'!$H$14*'База налогов'!H18</f>
        <v>12916.232374376761</v>
      </c>
      <c r="K17" s="191">
        <f>'Репрез.ставки'!$H$15*'База налогов'!I18</f>
        <v>12749.842388296884</v>
      </c>
      <c r="L17" s="48"/>
      <c r="M17" s="48"/>
      <c r="N17" s="48"/>
      <c r="O17" s="48"/>
      <c r="P17" s="48"/>
      <c r="Q17" s="48"/>
      <c r="R17" s="48"/>
    </row>
    <row r="18" spans="1:18" ht="15.75">
      <c r="A18" s="190" t="s">
        <v>101</v>
      </c>
      <c r="B18" s="80"/>
      <c r="C18" s="81"/>
      <c r="D18" s="80"/>
      <c r="E18" s="80"/>
      <c r="F18" s="80"/>
      <c r="G18" s="80"/>
      <c r="H18" s="80"/>
      <c r="I18" s="80"/>
      <c r="J18" s="80"/>
      <c r="K18" s="191"/>
      <c r="L18" s="48"/>
      <c r="M18" s="48"/>
      <c r="N18" s="48"/>
      <c r="O18" s="48"/>
      <c r="P18" s="48"/>
      <c r="Q18" s="48"/>
      <c r="R18" s="48"/>
    </row>
    <row r="19" spans="1:18" ht="15.75">
      <c r="A19" s="190" t="s">
        <v>14</v>
      </c>
      <c r="B19" s="80">
        <f t="shared" si="0"/>
        <v>58472.42990951514</v>
      </c>
      <c r="C19" s="81"/>
      <c r="D19" s="80">
        <f t="shared" si="1"/>
        <v>58472.42990951514</v>
      </c>
      <c r="E19" s="80">
        <f>'Репрез.ставки'!$H$9*'База налогов'!B20</f>
        <v>38836.108233809304</v>
      </c>
      <c r="F19" s="80">
        <v>0</v>
      </c>
      <c r="G19" s="80">
        <f>'Репрез.ставки'!$H$10*'База налогов'!E20</f>
        <v>2965.001933952818</v>
      </c>
      <c r="H19" s="80">
        <f>'Репрез.ставки'!$H$12*'База налогов'!F20</f>
        <v>7018.369950382456</v>
      </c>
      <c r="I19" s="80">
        <f>'Репрез.ставки'!$H$13*'База налогов'!G20</f>
        <v>601.3078972409085</v>
      </c>
      <c r="J19" s="80">
        <f>'Репрез.ставки'!$H$14*'База налогов'!H20</f>
        <v>2437.9246690810164</v>
      </c>
      <c r="K19" s="191">
        <f>'Репрез.ставки'!$H$16*'База налогов'!I20</f>
        <v>6613.71722504864</v>
      </c>
      <c r="L19" s="48"/>
      <c r="M19" s="48"/>
      <c r="N19" s="48"/>
      <c r="O19" s="48"/>
      <c r="P19" s="48"/>
      <c r="Q19" s="48"/>
      <c r="R19" s="48"/>
    </row>
    <row r="20" spans="1:18" ht="15.75">
      <c r="A20" s="190" t="s">
        <v>90</v>
      </c>
      <c r="B20" s="80">
        <f t="shared" si="0"/>
        <v>285599.6011226468</v>
      </c>
      <c r="C20" s="81"/>
      <c r="D20" s="80">
        <f t="shared" si="1"/>
        <v>285599.6011226468</v>
      </c>
      <c r="E20" s="80">
        <f>'Репрез.ставки'!$H$9*'База налогов'!B21</f>
        <v>210534.73197864371</v>
      </c>
      <c r="F20" s="80">
        <v>0</v>
      </c>
      <c r="G20" s="80">
        <f>'Репрез.ставки'!$H$10*'База налогов'!E21</f>
        <v>6366.650661486167</v>
      </c>
      <c r="H20" s="80">
        <f>'Репрез.ставки'!$H$12*'База налогов'!F21</f>
        <v>27533.410453418157</v>
      </c>
      <c r="I20" s="80">
        <f>'Репрез.ставки'!$H$13*'База налогов'!G21</f>
        <v>2670.744166966113</v>
      </c>
      <c r="J20" s="80">
        <f>'Репрез.ставки'!$H$14*'База налогов'!H21</f>
        <v>17879.88030353954</v>
      </c>
      <c r="K20" s="191">
        <f>'Репрез.ставки'!$H$16*'База налогов'!I21</f>
        <v>20614.183558593162</v>
      </c>
      <c r="L20" s="48"/>
      <c r="M20" s="48"/>
      <c r="N20" s="48"/>
      <c r="O20" s="48"/>
      <c r="P20" s="48"/>
      <c r="Q20" s="48"/>
      <c r="R20" s="48"/>
    </row>
    <row r="21" spans="1:18" ht="15.75">
      <c r="A21" s="190" t="s">
        <v>16</v>
      </c>
      <c r="B21" s="80">
        <f t="shared" si="0"/>
        <v>104773.44094564725</v>
      </c>
      <c r="C21" s="81"/>
      <c r="D21" s="80">
        <f t="shared" si="1"/>
        <v>104773.44094564725</v>
      </c>
      <c r="E21" s="80">
        <f>'Репрез.ставки'!$H$9*'База налогов'!B22</f>
        <v>72876.6152066091</v>
      </c>
      <c r="F21" s="80">
        <v>0</v>
      </c>
      <c r="G21" s="80">
        <f>'Репрез.ставки'!$H$10*'База налогов'!E22</f>
        <v>3612.425274863593</v>
      </c>
      <c r="H21" s="80">
        <f>'Репрез.ставки'!$H$12*'База налогов'!F22</f>
        <v>13114.40271719295</v>
      </c>
      <c r="I21" s="80">
        <f>'Репрез.ставки'!$H$13*'База налогов'!G22</f>
        <v>929.2940230086767</v>
      </c>
      <c r="J21" s="80">
        <f>'Репрез.ставки'!$H$14*'База налогов'!H22</f>
        <v>4448.966533641172</v>
      </c>
      <c r="K21" s="191">
        <f>'Репрез.ставки'!$H$16*'База налогов'!I22</f>
        <v>9791.737190331753</v>
      </c>
      <c r="L21" s="48"/>
      <c r="M21" s="48"/>
      <c r="N21" s="48"/>
      <c r="O21" s="48"/>
      <c r="P21" s="48"/>
      <c r="Q21" s="48"/>
      <c r="R21" s="48"/>
    </row>
    <row r="22" spans="1:18" ht="15.75">
      <c r="A22" s="190" t="s">
        <v>89</v>
      </c>
      <c r="B22" s="80">
        <f t="shared" si="0"/>
        <v>141038.62810214597</v>
      </c>
      <c r="C22" s="81">
        <f>2188.937</f>
        <v>2188.937</v>
      </c>
      <c r="D22" s="80">
        <f t="shared" si="1"/>
        <v>143227.56510214598</v>
      </c>
      <c r="E22" s="80">
        <f>'Репрез.ставки'!$H$9*'База налогов'!B23</f>
        <v>73882.46401772874</v>
      </c>
      <c r="F22" s="80">
        <v>0</v>
      </c>
      <c r="G22" s="80">
        <f>'Репрез.ставки'!$H$10*'База налогов'!E23</f>
        <v>34770.74403129535</v>
      </c>
      <c r="H22" s="80">
        <f>'Репрез.ставки'!$H$12*'База налогов'!F23</f>
        <v>14535.460189411786</v>
      </c>
      <c r="I22" s="80">
        <f>'Репрез.ставки'!$H$13*'База налогов'!G23</f>
        <v>1624.312241897519</v>
      </c>
      <c r="J22" s="80">
        <f>'Репрез.ставки'!$H$14*'База налогов'!H23</f>
        <v>8880.52472596323</v>
      </c>
      <c r="K22" s="191">
        <f>'Репрез.ставки'!$H$16*'База налогов'!I23</f>
        <v>9534.059895849337</v>
      </c>
      <c r="L22" s="48"/>
      <c r="M22" s="48"/>
      <c r="N22" s="48"/>
      <c r="O22" s="48"/>
      <c r="P22" s="48"/>
      <c r="Q22" s="48"/>
      <c r="R22" s="48"/>
    </row>
    <row r="23" spans="1:18" ht="15.75">
      <c r="A23" s="190" t="s">
        <v>88</v>
      </c>
      <c r="B23" s="80">
        <f t="shared" si="0"/>
        <v>142576.06749155253</v>
      </c>
      <c r="C23" s="81"/>
      <c r="D23" s="80">
        <f t="shared" si="1"/>
        <v>142576.06749155253</v>
      </c>
      <c r="E23" s="80">
        <f>'Репрез.ставки'!$H$9*'База налогов'!B24</f>
        <v>85829.11765104528</v>
      </c>
      <c r="F23" s="80">
        <v>0</v>
      </c>
      <c r="G23" s="80">
        <f>'Репрез.ставки'!$H$10*'База налогов'!E24</f>
        <v>22696.10603779127</v>
      </c>
      <c r="H23" s="80">
        <f>'Репрез.ставки'!$H$12*'База налогов'!F24</f>
        <v>13788.645543976114</v>
      </c>
      <c r="I23" s="80">
        <f>'Репрез.ставки'!$H$13*'База налогов'!G24</f>
        <v>1593.0754680148743</v>
      </c>
      <c r="J23" s="80">
        <f>'Репрез.ставки'!$H$14*'База налогов'!H24</f>
        <v>8190.2461484401365</v>
      </c>
      <c r="K23" s="191">
        <f>'Репрез.ставки'!$H$16*'База налогов'!I24</f>
        <v>10478.876642284858</v>
      </c>
      <c r="L23" s="48"/>
      <c r="M23" s="48"/>
      <c r="N23" s="48"/>
      <c r="O23" s="48"/>
      <c r="P23" s="48"/>
      <c r="Q23" s="48"/>
      <c r="R23" s="48"/>
    </row>
    <row r="24" spans="1:18" ht="15.75">
      <c r="A24" s="190" t="s">
        <v>87</v>
      </c>
      <c r="B24" s="80">
        <f t="shared" si="0"/>
        <v>111249.85768365621</v>
      </c>
      <c r="C24" s="81"/>
      <c r="D24" s="80">
        <f t="shared" si="1"/>
        <v>111249.85768365621</v>
      </c>
      <c r="E24" s="80">
        <f>'Репрез.ставки'!$H$9*'База налогов'!B25</f>
        <v>69498.7215152849</v>
      </c>
      <c r="F24" s="80">
        <v>0</v>
      </c>
      <c r="G24" s="80">
        <f>'Репрез.ставки'!$H$10*'База налогов'!E25</f>
        <v>6937.427985185944</v>
      </c>
      <c r="H24" s="80">
        <f>'Репрез.ставки'!$H$12*'База налогов'!F25</f>
        <v>10191.277370538528</v>
      </c>
      <c r="I24" s="80">
        <f>'Репрез.ставки'!$H$13*'База налогов'!G25</f>
        <v>2701.9809408487577</v>
      </c>
      <c r="J24" s="80">
        <f>'Репрез.ставки'!$H$14*'База налогов'!H25</f>
        <v>6416.8659871061345</v>
      </c>
      <c r="K24" s="191">
        <f>'Репрез.ставки'!$H$16*'База налогов'!I25</f>
        <v>15503.583884691941</v>
      </c>
      <c r="L24" s="48"/>
      <c r="M24" s="48"/>
      <c r="N24" s="48"/>
      <c r="O24" s="48"/>
      <c r="P24" s="48"/>
      <c r="Q24" s="48"/>
      <c r="R24" s="48"/>
    </row>
    <row r="25" spans="1:18" ht="15.75">
      <c r="A25" s="190" t="s">
        <v>8</v>
      </c>
      <c r="B25" s="80">
        <f t="shared" si="0"/>
        <v>1161138.850587827</v>
      </c>
      <c r="C25" s="82">
        <f>17581.49</f>
        <v>17581.49</v>
      </c>
      <c r="D25" s="80">
        <f t="shared" si="1"/>
        <v>1178720.340587827</v>
      </c>
      <c r="E25" s="80">
        <f>'Репрез.ставки'!$H$9*'База налогов'!B26</f>
        <v>828506.3762309821</v>
      </c>
      <c r="F25" s="80">
        <v>0</v>
      </c>
      <c r="G25" s="80">
        <f>'Репрез.ставки'!$H$10*'База налогов'!E26</f>
        <v>2580.1661352467604</v>
      </c>
      <c r="H25" s="80">
        <f>'Репрез.ставки'!$H$12*'База налогов'!F26</f>
        <v>213971.25643006215</v>
      </c>
      <c r="I25" s="80">
        <f>'Репрез.ставки'!$H$13*'База налогов'!G26</f>
        <v>7738.910729425198</v>
      </c>
      <c r="J25" s="80">
        <f>'Репрез.ставки'!$H$14*'База налогов'!H26</f>
        <v>35135.33097280654</v>
      </c>
      <c r="K25" s="191">
        <f>'Репрез.ставки'!$H$16*'База налогов'!I26</f>
        <v>90788.30008930406</v>
      </c>
      <c r="L25" s="48"/>
      <c r="M25" s="48"/>
      <c r="N25" s="48"/>
      <c r="O25" s="48"/>
      <c r="P25" s="48"/>
      <c r="Q25" s="48"/>
      <c r="R25" s="48"/>
    </row>
    <row r="26" spans="1:18" ht="15.75">
      <c r="A26" s="190" t="s">
        <v>86</v>
      </c>
      <c r="B26" s="80">
        <f t="shared" si="0"/>
        <v>52552.834143142965</v>
      </c>
      <c r="C26" s="82"/>
      <c r="D26" s="80">
        <f t="shared" si="1"/>
        <v>52552.834143142965</v>
      </c>
      <c r="E26" s="80">
        <f>'Репрез.ставки'!$H$9*'База налогов'!B27</f>
        <v>30433.065113368353</v>
      </c>
      <c r="F26" s="80">
        <v>0</v>
      </c>
      <c r="G26" s="80">
        <f>'Репрез.ставки'!$H$10*'База налогов'!E27</f>
        <v>6804.153835147267</v>
      </c>
      <c r="H26" s="80">
        <f>'Репрез.ставки'!$H$12*'База налогов'!F27</f>
        <v>8211.585666366682</v>
      </c>
      <c r="I26" s="80">
        <f>'Репрез.ставки'!$H$13*'База налогов'!G27</f>
        <v>609.1170907115696</v>
      </c>
      <c r="J26" s="80">
        <f>'Репрез.ставки'!$H$14*'База налогов'!H27</f>
        <v>2372.0757258304584</v>
      </c>
      <c r="K26" s="191">
        <f>'Репрез.ставки'!$H$16*'База налогов'!I27</f>
        <v>4122.836711718633</v>
      </c>
      <c r="L26" s="48"/>
      <c r="M26" s="48"/>
      <c r="N26" s="48"/>
      <c r="O26" s="48"/>
      <c r="P26" s="48"/>
      <c r="Q26" s="48"/>
      <c r="R26" s="48"/>
    </row>
    <row r="27" spans="1:18" ht="15.75">
      <c r="A27" s="190" t="s">
        <v>85</v>
      </c>
      <c r="B27" s="80">
        <f t="shared" si="0"/>
        <v>72092.32044818894</v>
      </c>
      <c r="C27" s="82"/>
      <c r="D27" s="80">
        <f t="shared" si="1"/>
        <v>72092.32044818894</v>
      </c>
      <c r="E27" s="80">
        <f>'Репрез.ставки'!$H$9*'База налогов'!B28</f>
        <v>46933.267482504765</v>
      </c>
      <c r="F27" s="80">
        <v>0</v>
      </c>
      <c r="G27" s="80">
        <f>'Репрез.ставки'!$H$10*'База налогов'!E28</f>
        <v>7643.1922190855375</v>
      </c>
      <c r="H27" s="80">
        <f>'Репрез.ставки'!$H$12*'База налогов'!F28</f>
        <v>8393.015212997945</v>
      </c>
      <c r="I27" s="80">
        <f>'Репрез.ставки'!$H$13*'База налогов'!G28</f>
        <v>1007.3859577152882</v>
      </c>
      <c r="J27" s="80">
        <f>'Репрез.ставки'!$H$14*'База налогов'!H28</f>
        <v>2017.0969398015861</v>
      </c>
      <c r="K27" s="191">
        <f>'Репрез.ставки'!$H$16*'База налогов'!I28</f>
        <v>6098.362636083811</v>
      </c>
      <c r="L27" s="48"/>
      <c r="M27" s="48"/>
      <c r="N27" s="48"/>
      <c r="O27" s="48"/>
      <c r="P27" s="48"/>
      <c r="Q27" s="48"/>
      <c r="R27" s="48"/>
    </row>
    <row r="28" spans="1:18" ht="15.75">
      <c r="A28" s="190" t="s">
        <v>84</v>
      </c>
      <c r="B28" s="80">
        <f t="shared" si="0"/>
        <v>275035.42134353996</v>
      </c>
      <c r="C28" s="82"/>
      <c r="D28" s="80">
        <f t="shared" si="1"/>
        <v>275035.42134353996</v>
      </c>
      <c r="E28" s="80">
        <f>'Репрез.ставки'!$H$9*'База налогов'!B29</f>
        <v>159529.82851050506</v>
      </c>
      <c r="F28" s="80">
        <v>0</v>
      </c>
      <c r="G28" s="80">
        <f>'Репрез.ставки'!$H$10*'База налогов'!E29</f>
        <v>32417.304522379443</v>
      </c>
      <c r="H28" s="80">
        <f>'Репрез.ставки'!$H$12*'База налогов'!F29</f>
        <v>54389.20264662745</v>
      </c>
      <c r="I28" s="80">
        <f>'Репрез.ставки'!$H$13*'База налогов'!G29</f>
        <v>2030.3903023718988</v>
      </c>
      <c r="J28" s="80">
        <f>'Репрез.ставки'!$H$14*'База налогов'!H29</f>
        <v>9576.101494322578</v>
      </c>
      <c r="K28" s="191">
        <f>'Репрез.ставки'!$H$16*'База налогов'!I29</f>
        <v>17092.593867333497</v>
      </c>
      <c r="L28" s="48"/>
      <c r="M28" s="48"/>
      <c r="N28" s="48"/>
      <c r="O28" s="48"/>
      <c r="P28" s="48"/>
      <c r="Q28" s="48"/>
      <c r="R28" s="48"/>
    </row>
    <row r="29" spans="1:18" ht="15.75">
      <c r="A29" s="190" t="s">
        <v>83</v>
      </c>
      <c r="B29" s="80">
        <f t="shared" si="0"/>
        <v>282164.4329409917</v>
      </c>
      <c r="C29" s="82"/>
      <c r="D29" s="80">
        <f t="shared" si="1"/>
        <v>282164.4329409917</v>
      </c>
      <c r="E29" s="80">
        <f>'Репрез.ставки'!$H$9*'База налогов'!B30</f>
        <v>192398.69557832603</v>
      </c>
      <c r="F29" s="80">
        <v>0</v>
      </c>
      <c r="G29" s="80">
        <f>'Репрез.ставки'!$H$10*'База налогов'!E30</f>
        <v>14148.790548644156</v>
      </c>
      <c r="H29" s="80">
        <f>'Репрез.ставки'!$H$12*'База налогов'!F30</f>
        <v>28993.285410032517</v>
      </c>
      <c r="I29" s="80">
        <f>'Репрез.ставки'!$H$13*'База налогов'!G30</f>
        <v>5325.869946990903</v>
      </c>
      <c r="J29" s="80">
        <f>'Репрез.ставки'!$H$14*'База налогов'!H30</f>
        <v>16260.14767645684</v>
      </c>
      <c r="K29" s="191">
        <f>'Репрез.ставки'!$H$16*'База налогов'!I30</f>
        <v>25037.64378054128</v>
      </c>
      <c r="L29" s="48"/>
      <c r="M29" s="48"/>
      <c r="N29" s="48"/>
      <c r="O29" s="48"/>
      <c r="P29" s="48"/>
      <c r="Q29" s="48"/>
      <c r="R29" s="48"/>
    </row>
    <row r="30" spans="1:18" ht="15.75">
      <c r="A30" s="190" t="s">
        <v>82</v>
      </c>
      <c r="B30" s="80">
        <f t="shared" si="0"/>
        <v>78772.37815578078</v>
      </c>
      <c r="C30" s="82"/>
      <c r="D30" s="80">
        <f t="shared" si="1"/>
        <v>78772.37815578078</v>
      </c>
      <c r="E30" s="80">
        <f>'Репрез.ставки'!$H$9*'База налогов'!B31</f>
        <v>53891.885130048875</v>
      </c>
      <c r="F30" s="80">
        <v>0</v>
      </c>
      <c r="G30" s="80">
        <f>'Репрез.ставки'!$H$10*'База налогов'!E31</f>
        <v>8451.93615767365</v>
      </c>
      <c r="H30" s="80">
        <f>'Репрез.ставки'!$H$12*'База налогов'!F31</f>
        <v>7706.958369224838</v>
      </c>
      <c r="I30" s="80">
        <f>'Репрез.ставки'!$H$13*'База налогов'!G31</f>
        <v>851.2020883020652</v>
      </c>
      <c r="J30" s="80">
        <f>'Репрез.ставки'!$H$14*'База налогов'!H31</f>
        <v>2802.7429523772134</v>
      </c>
      <c r="K30" s="191">
        <f>'Репрез.ставки'!$H$16*'База налогов'!I31</f>
        <v>5067.653458154153</v>
      </c>
      <c r="L30" s="48"/>
      <c r="M30" s="48"/>
      <c r="N30" s="48"/>
      <c r="O30" s="48"/>
      <c r="P30" s="48"/>
      <c r="Q30" s="48"/>
      <c r="R30" s="48"/>
    </row>
    <row r="31" spans="1:18" ht="15.75">
      <c r="A31" s="190" t="s">
        <v>81</v>
      </c>
      <c r="B31" s="80">
        <f t="shared" si="0"/>
        <v>153328.64039650402</v>
      </c>
      <c r="C31" s="82"/>
      <c r="D31" s="80">
        <f t="shared" si="1"/>
        <v>153328.64039650402</v>
      </c>
      <c r="E31" s="80">
        <f>'Репрез.ставки'!$H$9*'База налогов'!B32</f>
        <v>104809.20473366512</v>
      </c>
      <c r="F31" s="80">
        <v>0</v>
      </c>
      <c r="G31" s="80">
        <f>'Репрез.ставки'!$H$10*'База налогов'!E32</f>
        <v>21302.66859919412</v>
      </c>
      <c r="H31" s="80">
        <f>'Репрез.ставки'!$H$12*'База налогов'!F32</f>
        <v>16045.966647411617</v>
      </c>
      <c r="I31" s="80">
        <f>'Репрез.ставки'!$H$13*'База налогов'!G32</f>
        <v>1561.8386941322296</v>
      </c>
      <c r="J31" s="80">
        <f>'Репрез.ставки'!$H$14*'База налогов'!H32</f>
        <v>2222.2126136050497</v>
      </c>
      <c r="K31" s="191">
        <f>'Репрез.ставки'!$H$16*'База налогов'!I32</f>
        <v>7386.749108495884</v>
      </c>
      <c r="L31" s="48"/>
      <c r="M31" s="48"/>
      <c r="N31" s="48"/>
      <c r="O31" s="48"/>
      <c r="P31" s="48"/>
      <c r="Q31" s="48"/>
      <c r="R31" s="48"/>
    </row>
    <row r="32" spans="1:18" ht="15.75">
      <c r="A32" s="190" t="s">
        <v>80</v>
      </c>
      <c r="B32" s="80">
        <f t="shared" si="0"/>
        <v>134224.4270228829</v>
      </c>
      <c r="C32" s="82"/>
      <c r="D32" s="80">
        <f t="shared" si="1"/>
        <v>134224.4270228829</v>
      </c>
      <c r="E32" s="80">
        <f>'Репрез.ставки'!$H$9*'База налогов'!B33</f>
        <v>85512.16325789201</v>
      </c>
      <c r="F32" s="80">
        <v>0</v>
      </c>
      <c r="G32" s="80">
        <f>'Репрез.ставки'!$H$10*'База налогов'!E33</f>
        <v>19446.036584518773</v>
      </c>
      <c r="H32" s="80">
        <f>'Репрез.ставки'!$H$12*'База налогов'!F33</f>
        <v>13754.047351362711</v>
      </c>
      <c r="I32" s="80">
        <f>'Репрез.ставки'!$H$13*'База налогов'!G33</f>
        <v>1725.831757016114</v>
      </c>
      <c r="J32" s="80">
        <f>'Репрез.ставки'!$H$14*'База налогов'!H33</f>
        <v>4939.427628197055</v>
      </c>
      <c r="K32" s="191">
        <f>'Репрез.ставки'!$H$16*'База налогов'!I33</f>
        <v>8846.920443896233</v>
      </c>
      <c r="L32" s="48"/>
      <c r="M32" s="48"/>
      <c r="N32" s="48"/>
      <c r="O32" s="48"/>
      <c r="P32" s="48"/>
      <c r="Q32" s="48"/>
      <c r="R32" s="48"/>
    </row>
    <row r="33" spans="1:18" ht="15.75">
      <c r="A33" s="190" t="s">
        <v>79</v>
      </c>
      <c r="B33" s="80">
        <f t="shared" si="0"/>
        <v>529970.3900520152</v>
      </c>
      <c r="C33" s="82"/>
      <c r="D33" s="80">
        <f t="shared" si="1"/>
        <v>529970.3900520152</v>
      </c>
      <c r="E33" s="80">
        <f>'Репрез.ставки'!$H$9*'База налогов'!B34</f>
        <v>331526.8826280795</v>
      </c>
      <c r="F33" s="80">
        <v>0</v>
      </c>
      <c r="G33" s="80">
        <f>'Репрез.ставки'!$H$10*'База налогов'!E34</f>
        <v>3981.6321370992514</v>
      </c>
      <c r="H33" s="80">
        <f>'Репрез.ставки'!$H$12*'База налогов'!F34</f>
        <v>98323.84411551194</v>
      </c>
      <c r="I33" s="80">
        <f>'Репрез.ставки'!$H$13*'База налогов'!G34</f>
        <v>6036.506552821068</v>
      </c>
      <c r="J33" s="80">
        <f>'Репрез.ставки'!$H$14*'База налогов'!H34</f>
        <v>36032.23899294346</v>
      </c>
      <c r="K33" s="191">
        <f>'Репрез.ставки'!$H$16*'База налогов'!I34</f>
        <v>54069.28562555998</v>
      </c>
      <c r="L33" s="48"/>
      <c r="M33" s="48"/>
      <c r="N33" s="48"/>
      <c r="O33" s="48"/>
      <c r="P33" s="48"/>
      <c r="Q33" s="48"/>
      <c r="R33" s="48"/>
    </row>
    <row r="34" spans="1:18" ht="15.75">
      <c r="A34" s="190" t="s">
        <v>78</v>
      </c>
      <c r="B34" s="80">
        <f t="shared" si="0"/>
        <v>44549.892594450044</v>
      </c>
      <c r="C34" s="82"/>
      <c r="D34" s="80">
        <f t="shared" si="1"/>
        <v>44549.892594450044</v>
      </c>
      <c r="E34" s="80">
        <f>'Репрез.ставки'!$H$9*'База налогов'!B35</f>
        <v>30266.478516306797</v>
      </c>
      <c r="F34" s="80">
        <v>0</v>
      </c>
      <c r="G34" s="80">
        <f>'Репрез.ставки'!$H$10*'База налогов'!E35</f>
        <v>451.31230246028883</v>
      </c>
      <c r="H34" s="80">
        <f>'Репрез.ставки'!$H$12*'База налогов'!F35</f>
        <v>6686.733616307633</v>
      </c>
      <c r="I34" s="80">
        <f>'Репрез.ставки'!$H$13*'База налогов'!G35</f>
        <v>835.5837013607429</v>
      </c>
      <c r="J34" s="80">
        <f>'Репрез.ставки'!$H$14*'База налогов'!H35</f>
        <v>1757.485588825247</v>
      </c>
      <c r="K34" s="191">
        <f>'Репрез.ставки'!$H$16*'База налогов'!I35</f>
        <v>4552.298869189323</v>
      </c>
      <c r="L34" s="48"/>
      <c r="M34" s="48"/>
      <c r="N34" s="48"/>
      <c r="O34" s="48"/>
      <c r="P34" s="48"/>
      <c r="Q34" s="48"/>
      <c r="R34" s="48"/>
    </row>
    <row r="35" spans="1:18" ht="15.75">
      <c r="A35" s="190" t="s">
        <v>77</v>
      </c>
      <c r="B35" s="80">
        <f t="shared" si="0"/>
        <v>255552.68458918415</v>
      </c>
      <c r="C35" s="82"/>
      <c r="D35" s="80">
        <f t="shared" si="1"/>
        <v>255552.68458918415</v>
      </c>
      <c r="E35" s="80">
        <f>'Репрез.ставки'!$H$9*'База налогов'!B36</f>
        <v>175368.42110548218</v>
      </c>
      <c r="F35" s="80">
        <v>0</v>
      </c>
      <c r="G35" s="80">
        <f>'Репрез.ставки'!$H$10*'База налогов'!E36</f>
        <v>30024.471529757328</v>
      </c>
      <c r="H35" s="80">
        <f>'Репрез.ставки'!$H$12*'База налогов'!F36</f>
        <v>17819.75691261589</v>
      </c>
      <c r="I35" s="80">
        <f>'Репрез.ставки'!$H$13*'База налогов'!G36</f>
        <v>2506.7511040822287</v>
      </c>
      <c r="J35" s="80">
        <f>'Репрез.ставки'!$H$14*'База налогов'!H36</f>
        <v>14243.807621060432</v>
      </c>
      <c r="K35" s="191">
        <f>'Репрез.ставки'!$H$16*'База налогов'!I36</f>
        <v>15589.47631618608</v>
      </c>
      <c r="L35" s="48"/>
      <c r="M35" s="48"/>
      <c r="N35" s="48"/>
      <c r="O35" s="48"/>
      <c r="P35" s="48"/>
      <c r="Q35" s="48"/>
      <c r="R35" s="48"/>
    </row>
    <row r="36" spans="1:18" ht="15.75">
      <c r="A36" s="190" t="s">
        <v>76</v>
      </c>
      <c r="B36" s="80">
        <f t="shared" si="0"/>
        <v>128924.81679880306</v>
      </c>
      <c r="C36" s="82">
        <f>3805.189</f>
        <v>3805.189</v>
      </c>
      <c r="D36" s="80">
        <f t="shared" si="1"/>
        <v>132730.00579880306</v>
      </c>
      <c r="E36" s="80">
        <f>'Репрез.ставки'!$H$9*'База налогов'!B37</f>
        <v>77777.31509715895</v>
      </c>
      <c r="F36" s="80">
        <v>0</v>
      </c>
      <c r="G36" s="80">
        <f>'Репрез.ставки'!$H$10*'База налогов'!E37</f>
        <v>17370.920601788057</v>
      </c>
      <c r="H36" s="80">
        <f>'Репрез.ставки'!$H$12*'База налогов'!F37</f>
        <v>15942.172069571405</v>
      </c>
      <c r="I36" s="80">
        <f>'Репрез.ставки'!$H$13*'База налогов'!G37</f>
        <v>1936.679980723965</v>
      </c>
      <c r="J36" s="80">
        <f>'Репрез.ставки'!$H$14*'База налогов'!H37</f>
        <v>5058.258479810132</v>
      </c>
      <c r="K36" s="191">
        <f>'Репрез.ставки'!$H$16*'База налогов'!I37</f>
        <v>14644.65956975056</v>
      </c>
      <c r="L36" s="48"/>
      <c r="M36" s="48"/>
      <c r="N36" s="48"/>
      <c r="O36" s="48"/>
      <c r="P36" s="48"/>
      <c r="Q36" s="48"/>
      <c r="R36" s="48"/>
    </row>
    <row r="37" spans="1:18" ht="15.75">
      <c r="A37" s="190" t="s">
        <v>75</v>
      </c>
      <c r="B37" s="80">
        <f t="shared" si="0"/>
        <v>105041.15823156176</v>
      </c>
      <c r="C37" s="82"/>
      <c r="D37" s="80">
        <f t="shared" si="1"/>
        <v>105041.15823156176</v>
      </c>
      <c r="E37" s="80">
        <f>'Репрез.ставки'!$H$9*'База налогов'!B38</f>
        <v>66278.18213923277</v>
      </c>
      <c r="F37" s="80">
        <v>0</v>
      </c>
      <c r="G37" s="80">
        <f>'Репрез.ставки'!$H$10*'База налогов'!E38</f>
        <v>5662.170997707429</v>
      </c>
      <c r="H37" s="80">
        <f>'Репрез.ставки'!$H$12*'База налогов'!F38</f>
        <v>17248.46480531651</v>
      </c>
      <c r="I37" s="80">
        <f>'Репрез.ставки'!$H$13*'База налогов'!G38</f>
        <v>1444.7007920723124</v>
      </c>
      <c r="J37" s="80">
        <f>'Репрез.ставки'!$H$14*'База налогов'!H38</f>
        <v>3714.0317762125264</v>
      </c>
      <c r="K37" s="191">
        <f>'Репрез.ставки'!$H$16*'База налогов'!I38</f>
        <v>10693.607721020204</v>
      </c>
      <c r="L37" s="48"/>
      <c r="M37" s="48"/>
      <c r="N37" s="48"/>
      <c r="O37" s="48"/>
      <c r="P37" s="48"/>
      <c r="Q37" s="48"/>
      <c r="R37" s="48"/>
    </row>
    <row r="38" spans="1:18" ht="15.75">
      <c r="A38" s="190" t="s">
        <v>74</v>
      </c>
      <c r="B38" s="80">
        <f t="shared" si="0"/>
        <v>129522.42408595954</v>
      </c>
      <c r="C38" s="82"/>
      <c r="D38" s="80">
        <f t="shared" si="1"/>
        <v>129522.42408595954</v>
      </c>
      <c r="E38" s="80">
        <f>'Репрез.ставки'!$H$9*'База налогов'!B39</f>
        <v>86289.4253471567</v>
      </c>
      <c r="F38" s="80">
        <v>0</v>
      </c>
      <c r="G38" s="80">
        <f>'Репрез.ставки'!$H$10*'База налогов'!E39</f>
        <v>10000.91362840429</v>
      </c>
      <c r="H38" s="80">
        <f>'Репрез.ставки'!$H$12*'База налогов'!F39</f>
        <v>15674.668970584842</v>
      </c>
      <c r="I38" s="80">
        <f>'Репрез.ставки'!$H$13*'База налогов'!G39</f>
        <v>1546.2203071909075</v>
      </c>
      <c r="J38" s="80">
        <f>'Репрез.ставки'!$H$14*'База налогов'!H39</f>
        <v>7078.382957232433</v>
      </c>
      <c r="K38" s="191">
        <f>'Репрез.ставки'!$H$16*'База налогов'!I39</f>
        <v>8932.812875390371</v>
      </c>
      <c r="L38" s="48"/>
      <c r="M38" s="48"/>
      <c r="N38" s="48"/>
      <c r="O38" s="48"/>
      <c r="P38" s="48"/>
      <c r="Q38" s="48"/>
      <c r="R38" s="48"/>
    </row>
    <row r="39" spans="1:18" ht="15.75">
      <c r="A39" s="190" t="s">
        <v>73</v>
      </c>
      <c r="B39" s="80">
        <f t="shared" si="0"/>
        <v>390235.9024865454</v>
      </c>
      <c r="C39" s="82"/>
      <c r="D39" s="80">
        <f t="shared" si="1"/>
        <v>390235.9024865454</v>
      </c>
      <c r="E39" s="80">
        <f>'Репрез.ставки'!$H$9*'База налогов'!B40</f>
        <v>294559.53120752325</v>
      </c>
      <c r="F39" s="80">
        <v>0</v>
      </c>
      <c r="G39" s="80">
        <f>'Репрез.ставки'!$H$10*'База налогов'!E40</f>
        <v>7370.970400974409</v>
      </c>
      <c r="H39" s="80">
        <f>'Репрез.ставки'!$H$12*'База налогов'!F40</f>
        <v>43512.712290672236</v>
      </c>
      <c r="I39" s="80">
        <f>'Репрез.ставки'!$H$13*'База налогов'!G40</f>
        <v>4271.628828451649</v>
      </c>
      <c r="J39" s="80">
        <f>'Репрез.ставки'!$H$14*'База налогов'!H40</f>
        <v>15612.25462562376</v>
      </c>
      <c r="K39" s="191">
        <f>'Репрез.ставки'!$H$16*'База налогов'!I40</f>
        <v>24908.805133300073</v>
      </c>
      <c r="L39" s="48"/>
      <c r="M39" s="48"/>
      <c r="N39" s="48"/>
      <c r="O39" s="48"/>
      <c r="P39" s="48"/>
      <c r="Q39" s="48"/>
      <c r="R39" s="48"/>
    </row>
    <row r="40" spans="1:18" ht="15.75">
      <c r="A40" s="190" t="s">
        <v>50</v>
      </c>
      <c r="B40" s="80">
        <f t="shared" si="0"/>
        <v>846034.9174061624</v>
      </c>
      <c r="C40" s="82">
        <f>3861.947+544.174</f>
        <v>4406.121</v>
      </c>
      <c r="D40" s="80">
        <f t="shared" si="1"/>
        <v>850441.0384061624</v>
      </c>
      <c r="E40" s="80">
        <f>'Репрез.ставки'!$H$9*'База налогов'!B41</f>
        <v>484377.55435572565</v>
      </c>
      <c r="F40" s="80">
        <v>0</v>
      </c>
      <c r="G40" s="80">
        <f>'Репрез.ставки'!$H$10*'База налогов'!E41</f>
        <v>50826.15778181811</v>
      </c>
      <c r="H40" s="80">
        <f>'Репрез.ставки'!$H$12*'База налогов'!F41</f>
        <v>144884.5727895894</v>
      </c>
      <c r="I40" s="80">
        <f>'Репрез.ставки'!$H$13*'База налогов'!G41</f>
        <v>8082.515242134289</v>
      </c>
      <c r="J40" s="80">
        <f>'Репрез.ставки'!$H$14*'База налогов'!H41</f>
        <v>60272.975837605896</v>
      </c>
      <c r="K40" s="191">
        <f>'Репрез.ставки'!$H$16*'База налогов'!I41</f>
        <v>101997.26239928909</v>
      </c>
      <c r="L40" s="48"/>
      <c r="M40" s="48"/>
      <c r="N40" s="48"/>
      <c r="O40" s="48"/>
      <c r="P40" s="48"/>
      <c r="Q40" s="48"/>
      <c r="R40" s="48"/>
    </row>
    <row r="41" spans="1:18" ht="15.75">
      <c r="A41" s="190" t="s">
        <v>72</v>
      </c>
      <c r="B41" s="80">
        <f t="shared" si="0"/>
        <v>160959.61971202193</v>
      </c>
      <c r="C41" s="82"/>
      <c r="D41" s="80">
        <f t="shared" si="1"/>
        <v>160959.61971202193</v>
      </c>
      <c r="E41" s="80">
        <f>'Репрез.ставки'!$H$9*'База налогов'!B42</f>
        <v>108712.53377285048</v>
      </c>
      <c r="F41" s="80">
        <v>0</v>
      </c>
      <c r="G41" s="80">
        <f>'Репрез.ставки'!$H$10*'База налогов'!E42</f>
        <v>3829.303530267897</v>
      </c>
      <c r="H41" s="80">
        <f>'Репрез.ставки'!$H$12*'База налогов'!F42</f>
        <v>23012.86123805218</v>
      </c>
      <c r="I41" s="80">
        <f>'Репрез.ставки'!$H$13*'База налогов'!G42</f>
        <v>2014.7719154305764</v>
      </c>
      <c r="J41" s="80">
        <f>'Репрез.ставки'!$H$14*'База налогов'!H42</f>
        <v>10334.499668311766</v>
      </c>
      <c r="K41" s="191">
        <f>'Репрез.ставки'!$H$16*'База налогов'!I42</f>
        <v>13055.649587109003</v>
      </c>
      <c r="L41" s="48"/>
      <c r="M41" s="48"/>
      <c r="N41" s="48"/>
      <c r="O41" s="48"/>
      <c r="P41" s="48"/>
      <c r="Q41" s="48"/>
      <c r="R41" s="48"/>
    </row>
    <row r="42" spans="1:18" ht="15.75">
      <c r="A42" s="190" t="s">
        <v>71</v>
      </c>
      <c r="B42" s="80">
        <f t="shared" si="0"/>
        <v>88646.20675465201</v>
      </c>
      <c r="C42" s="82"/>
      <c r="D42" s="80">
        <f t="shared" si="1"/>
        <v>88646.20675465201</v>
      </c>
      <c r="E42" s="80">
        <f>'Репрез.ставки'!$H$9*'База налогов'!B43</f>
        <v>55861.01692229469</v>
      </c>
      <c r="F42" s="80">
        <v>0</v>
      </c>
      <c r="G42" s="80">
        <f>'Репрез.ставки'!$H$10*'База налогов'!E43</f>
        <v>11112.816115514115</v>
      </c>
      <c r="H42" s="80">
        <f>'Репрез.ставки'!$H$12*'База налогов'!F43</f>
        <v>11007.288401201005</v>
      </c>
      <c r="I42" s="80">
        <f>'Репрез.ставки'!$H$13*'База налогов'!G43</f>
        <v>757.4917666541314</v>
      </c>
      <c r="J42" s="80">
        <f>'Репрез.ставки'!$H$14*'База налогов'!H43</f>
        <v>3938.069560145461</v>
      </c>
      <c r="K42" s="191">
        <f>'Репрез.ставки'!$H$16*'База налогов'!I43</f>
        <v>5969.523988842603</v>
      </c>
      <c r="L42" s="48"/>
      <c r="M42" s="48"/>
      <c r="N42" s="48"/>
      <c r="O42" s="48"/>
      <c r="P42" s="48"/>
      <c r="Q42" s="48"/>
      <c r="R42" s="48"/>
    </row>
    <row r="43" spans="1:18" ht="15.75">
      <c r="A43" s="190" t="s">
        <v>70</v>
      </c>
      <c r="B43" s="80">
        <f t="shared" si="0"/>
        <v>71099.04885031699</v>
      </c>
      <c r="C43" s="82"/>
      <c r="D43" s="80">
        <f t="shared" si="1"/>
        <v>71099.04885031699</v>
      </c>
      <c r="E43" s="80">
        <f>'Репрез.ставки'!$H$9*'База налогов'!B44</f>
        <v>48176.819697587605</v>
      </c>
      <c r="F43" s="80">
        <v>0</v>
      </c>
      <c r="G43" s="80">
        <f>'Репрез.ставки'!$H$10*'База налогов'!E44</f>
        <v>1651.9571754191597</v>
      </c>
      <c r="H43" s="80">
        <f>'Репрез.ставки'!$H$12*'База налогов'!F44</f>
        <v>8471.494040145422</v>
      </c>
      <c r="I43" s="80">
        <f>'Репрез.ставки'!$H$13*'База налогов'!G44</f>
        <v>937.1032164793379</v>
      </c>
      <c r="J43" s="80">
        <f>'Репрез.ставки'!$H$14*'База налогов'!H44</f>
        <v>3530.1088657540704</v>
      </c>
      <c r="K43" s="191">
        <f>'Репрез.ставки'!$H$16*'База налогов'!I44</f>
        <v>8331.565854931403</v>
      </c>
      <c r="L43" s="48"/>
      <c r="M43" s="48"/>
      <c r="N43" s="48"/>
      <c r="O43" s="48"/>
      <c r="P43" s="48"/>
      <c r="Q43" s="48"/>
      <c r="R43" s="48"/>
    </row>
    <row r="44" spans="1:18" ht="15.75">
      <c r="A44" s="190" t="s">
        <v>69</v>
      </c>
      <c r="B44" s="80">
        <f t="shared" si="0"/>
        <v>73028.82364649532</v>
      </c>
      <c r="C44" s="82"/>
      <c r="D44" s="80">
        <f t="shared" si="1"/>
        <v>73028.82364649532</v>
      </c>
      <c r="E44" s="80">
        <f>'Репрез.ставки'!$H$9*'База налогов'!B45</f>
        <v>53035.66816612315</v>
      </c>
      <c r="F44" s="80">
        <v>0</v>
      </c>
      <c r="G44" s="80">
        <f>'Репрез.ставки'!$H$10*'База налогов'!E45</f>
        <v>997.2546038235415</v>
      </c>
      <c r="H44" s="80">
        <f>'Репрез.ставки'!$H$12*'База налогов'!F45</f>
        <v>8547.441292223626</v>
      </c>
      <c r="I44" s="80">
        <f>'Репрез.ставки'!$H$13*'База налогов'!G45</f>
        <v>1116.7146663045444</v>
      </c>
      <c r="J44" s="80">
        <f>'Репрез.ставки'!$H$14*'База налогов'!H45</f>
        <v>3061.5974189483736</v>
      </c>
      <c r="K44" s="191">
        <f>'Репрез.ставки'!$H$16*'База налогов'!I45</f>
        <v>6270.147499072087</v>
      </c>
      <c r="L44" s="48"/>
      <c r="M44" s="48"/>
      <c r="N44" s="48"/>
      <c r="O44" s="48"/>
      <c r="P44" s="48"/>
      <c r="Q44" s="48"/>
      <c r="R44" s="48"/>
    </row>
    <row r="45" spans="1:18" ht="15.75">
      <c r="A45" s="190" t="s">
        <v>68</v>
      </c>
      <c r="B45" s="80">
        <f t="shared" si="0"/>
        <v>176485.50259789266</v>
      </c>
      <c r="C45" s="82">
        <f>2787.209</f>
        <v>2787.209</v>
      </c>
      <c r="D45" s="80">
        <f t="shared" si="1"/>
        <v>179272.71159789266</v>
      </c>
      <c r="E45" s="80">
        <f>'Репрез.ставки'!$H$9*'База налогов'!B46</f>
        <v>135436.37048406538</v>
      </c>
      <c r="F45" s="80">
        <v>0</v>
      </c>
      <c r="G45" s="80">
        <f>'Репрез.ставки'!$H$10*'База налогов'!E46</f>
        <v>3580.846259392581</v>
      </c>
      <c r="H45" s="80">
        <f>'Репрез.ставки'!$H$12*'База налогов'!F46</f>
        <v>21410.37421920208</v>
      </c>
      <c r="I45" s="80">
        <f>'Репрез.ставки'!$H$13*'База налогов'!G46</f>
        <v>929.2940230086767</v>
      </c>
      <c r="J45" s="80">
        <f>'Репрез.ставки'!$H$14*'База налогов'!H46</f>
        <v>7394.0037541920055</v>
      </c>
      <c r="K45" s="191">
        <f>'Репрез.ставки'!$H$16*'База налогов'!I46</f>
        <v>10521.822858031926</v>
      </c>
      <c r="L45" s="48"/>
      <c r="M45" s="48"/>
      <c r="N45" s="48"/>
      <c r="O45" s="48"/>
      <c r="P45" s="48"/>
      <c r="Q45" s="48"/>
      <c r="R45" s="48"/>
    </row>
    <row r="46" spans="1:18" s="45" customFormat="1" ht="20.25" customHeight="1">
      <c r="A46" s="8" t="s">
        <v>35</v>
      </c>
      <c r="B46" s="46">
        <f aca="true" t="shared" si="2" ref="B46:I46">SUM(B8:B45)</f>
        <v>32558240.84679001</v>
      </c>
      <c r="C46" s="47">
        <f t="shared" si="2"/>
        <v>30768.946</v>
      </c>
      <c r="D46" s="46">
        <f t="shared" si="2"/>
        <v>32589009.792790007</v>
      </c>
      <c r="E46" s="46">
        <f t="shared" si="2"/>
        <v>22774682.140500017</v>
      </c>
      <c r="F46" s="46">
        <f t="shared" si="2"/>
        <v>0</v>
      </c>
      <c r="G46" s="46">
        <f t="shared" si="2"/>
        <v>355382.1044999999</v>
      </c>
      <c r="H46" s="46">
        <f t="shared" si="2"/>
        <v>3936143.6178200026</v>
      </c>
      <c r="I46" s="46">
        <f t="shared" si="2"/>
        <v>371709.80000999995</v>
      </c>
      <c r="J46" s="46">
        <f>SUM(J8:J45)</f>
        <v>2784676.87851</v>
      </c>
      <c r="K46" s="46">
        <f>SUM(K8:K45)</f>
        <v>2366415.251450001</v>
      </c>
      <c r="L46" s="48"/>
      <c r="M46" s="48"/>
      <c r="N46" s="48"/>
      <c r="O46" s="48"/>
      <c r="P46" s="48"/>
      <c r="Q46" s="48"/>
      <c r="R46" s="48"/>
    </row>
    <row r="47" spans="2:7" ht="15.75">
      <c r="B47" s="44"/>
      <c r="C47" s="44"/>
      <c r="D47" s="44"/>
      <c r="E47" s="44"/>
      <c r="F47" s="44"/>
      <c r="G47" s="44"/>
    </row>
    <row r="48" spans="5:7" ht="15.75">
      <c r="E48" s="44"/>
      <c r="F48" s="44"/>
      <c r="G48" s="44"/>
    </row>
    <row r="49" spans="2:7" ht="15.75">
      <c r="B49" s="44"/>
      <c r="C49" s="44"/>
      <c r="D49" s="44"/>
      <c r="F49" s="43"/>
      <c r="G49" s="43"/>
    </row>
  </sheetData>
  <sheetProtection/>
  <mergeCells count="2">
    <mergeCell ref="A2:G2"/>
    <mergeCell ref="A3:K3"/>
  </mergeCells>
  <printOptions gridLines="1" horizontalCentered="1"/>
  <pageMargins left="0.2755905511811024" right="0.2362204724409449" top="0.3937007874015748" bottom="0.2362204724409449" header="0.15748031496062992" footer="0.2362204724409449"/>
  <pageSetup fitToHeight="1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theme="5" tint="-0.24997000396251678"/>
  </sheetPr>
  <dimension ref="A1:H53"/>
  <sheetViews>
    <sheetView view="pageBreakPreview" zoomScale="90" zoomScaleNormal="75" zoomScaleSheetLayoutView="9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E2"/>
    </sheetView>
  </sheetViews>
  <sheetFormatPr defaultColWidth="9.00390625" defaultRowHeight="12.75"/>
  <cols>
    <col min="1" max="1" width="23.25390625" style="54" customWidth="1"/>
    <col min="2" max="3" width="11.00390625" style="54" customWidth="1"/>
    <col min="4" max="4" width="11.25390625" style="54" customWidth="1"/>
    <col min="5" max="5" width="17.375" style="54" customWidth="1"/>
    <col min="6" max="6" width="13.125" style="54" bestFit="1" customWidth="1"/>
    <col min="7" max="7" width="16.625" style="54" customWidth="1"/>
    <col min="8" max="8" width="14.25390625" style="54" bestFit="1" customWidth="1"/>
    <col min="9" max="9" width="9.125" style="54" customWidth="1"/>
    <col min="10" max="10" width="12.75390625" style="54" bestFit="1" customWidth="1"/>
    <col min="11" max="12" width="9.125" style="54" customWidth="1"/>
    <col min="13" max="13" width="14.75390625" style="54" bestFit="1" customWidth="1"/>
    <col min="14" max="14" width="10.875" style="54" bestFit="1" customWidth="1"/>
    <col min="15" max="17" width="13.25390625" style="54" bestFit="1" customWidth="1"/>
    <col min="18" max="18" width="11.00390625" style="54" customWidth="1"/>
    <col min="19" max="19" width="10.875" style="54" bestFit="1" customWidth="1"/>
    <col min="20" max="20" width="9.625" style="54" bestFit="1" customWidth="1"/>
    <col min="21" max="16384" width="9.125" style="54" customWidth="1"/>
  </cols>
  <sheetData>
    <row r="1" spans="1:5" ht="15.75" customHeight="1">
      <c r="A1" s="65"/>
      <c r="B1" s="65"/>
      <c r="C1" s="65"/>
      <c r="D1" s="65"/>
      <c r="E1" s="66" t="s">
        <v>108</v>
      </c>
    </row>
    <row r="2" spans="1:5" ht="22.5" customHeight="1">
      <c r="A2" s="240" t="s">
        <v>147</v>
      </c>
      <c r="B2" s="240"/>
      <c r="C2" s="240"/>
      <c r="D2" s="240"/>
      <c r="E2" s="240"/>
    </row>
    <row r="3" spans="1:5" ht="10.5" customHeight="1">
      <c r="A3" s="181"/>
      <c r="B3" s="181"/>
      <c r="C3" s="181"/>
      <c r="D3" s="181"/>
      <c r="E3" s="181"/>
    </row>
    <row r="4" spans="1:5" ht="49.5" customHeight="1">
      <c r="A4" s="68" t="s">
        <v>107</v>
      </c>
      <c r="B4" s="245" t="s">
        <v>120</v>
      </c>
      <c r="C4" s="245"/>
      <c r="D4" s="246" t="s">
        <v>124</v>
      </c>
      <c r="E4" s="69" t="s">
        <v>106</v>
      </c>
    </row>
    <row r="5" spans="1:5" ht="36" customHeight="1">
      <c r="A5" s="243" t="s">
        <v>105</v>
      </c>
      <c r="B5" s="247" t="s">
        <v>104</v>
      </c>
      <c r="C5" s="248"/>
      <c r="D5" s="246"/>
      <c r="E5" s="241" t="s">
        <v>125</v>
      </c>
    </row>
    <row r="6" spans="1:5" ht="18" customHeight="1">
      <c r="A6" s="244"/>
      <c r="B6" s="70" t="s">
        <v>103</v>
      </c>
      <c r="C6" s="70" t="s">
        <v>102</v>
      </c>
      <c r="D6" s="246"/>
      <c r="E6" s="242"/>
    </row>
    <row r="7" spans="1:5" ht="21.75" customHeight="1">
      <c r="A7" s="244"/>
      <c r="B7" s="71">
        <f>E50/E52</f>
        <v>0.06732967317926287</v>
      </c>
      <c r="C7" s="71">
        <f>E51/E52</f>
        <v>0.08898625902847805</v>
      </c>
      <c r="D7" s="246"/>
      <c r="E7" s="242"/>
    </row>
    <row r="8" spans="1:5" ht="15.75">
      <c r="A8" s="59" t="s">
        <v>38</v>
      </c>
      <c r="B8" s="59" t="s">
        <v>39</v>
      </c>
      <c r="C8" s="59" t="s">
        <v>40</v>
      </c>
      <c r="D8" s="59" t="s">
        <v>41</v>
      </c>
      <c r="E8" s="59" t="s">
        <v>42</v>
      </c>
    </row>
    <row r="9" spans="1:5" s="56" customFormat="1" ht="15.75">
      <c r="A9" s="15" t="s">
        <v>117</v>
      </c>
      <c r="B9" s="85"/>
      <c r="C9" s="85"/>
      <c r="D9" s="85"/>
      <c r="E9" s="85"/>
    </row>
    <row r="10" spans="1:8" ht="15.75">
      <c r="A10" s="86" t="s">
        <v>0</v>
      </c>
      <c r="B10" s="87">
        <f>образование!E8</f>
        <v>1.0822980526644483</v>
      </c>
      <c r="C10" s="87">
        <f>образование!H8</f>
        <v>0.9270019633901163</v>
      </c>
      <c r="D10" s="88">
        <f>'коэффициент масштаба'!C7</f>
        <v>0.9000000000000001</v>
      </c>
      <c r="E10" s="87">
        <f>(B10*B$7+C10*C$7+1-SUM(B$7:C$7))*D10</f>
        <v>0.8991407509153648</v>
      </c>
      <c r="F10" s="127"/>
      <c r="G10" s="123"/>
      <c r="H10" s="123"/>
    </row>
    <row r="11" spans="1:8" ht="15.75">
      <c r="A11" s="86" t="s">
        <v>1</v>
      </c>
      <c r="B11" s="87">
        <f>образование!E9</f>
        <v>0.9552126686021812</v>
      </c>
      <c r="C11" s="87">
        <f>образование!H9</f>
        <v>1.0397345050162417</v>
      </c>
      <c r="D11" s="88">
        <f>'коэффициент масштаба'!C8</f>
        <v>0.9800180931263859</v>
      </c>
      <c r="E11" s="87">
        <f aca="true" t="shared" si="0" ref="E11:E19">(B11*B$7+C11*C$7+1-SUM(B$7:C$7))*D11</f>
        <v>0.9805280049391485</v>
      </c>
      <c r="F11" s="127"/>
      <c r="G11" s="123"/>
      <c r="H11" s="123"/>
    </row>
    <row r="12" spans="1:8" ht="15.75">
      <c r="A12" s="86" t="s">
        <v>2</v>
      </c>
      <c r="B12" s="87">
        <f>образование!E10</f>
        <v>0.9553101012297099</v>
      </c>
      <c r="C12" s="87">
        <f>образование!H10</f>
        <v>1.0141387370290353</v>
      </c>
      <c r="D12" s="88">
        <f>'коэффициент масштаба'!C9</f>
        <v>1.0726208425720622</v>
      </c>
      <c r="E12" s="87">
        <f t="shared" si="0"/>
        <v>1.0707428948226936</v>
      </c>
      <c r="F12" s="127"/>
      <c r="G12" s="123"/>
      <c r="H12" s="123"/>
    </row>
    <row r="13" spans="1:8" ht="15.75">
      <c r="A13" s="86" t="s">
        <v>11</v>
      </c>
      <c r="B13" s="87">
        <f>образование!E11</f>
        <v>0.8916646554215467</v>
      </c>
      <c r="C13" s="87">
        <f>образование!H11</f>
        <v>0.9471735767927878</v>
      </c>
      <c r="D13" s="88">
        <f>'коэффициент масштаба'!C10</f>
        <v>1.0838238580931265</v>
      </c>
      <c r="E13" s="87">
        <f t="shared" si="0"/>
        <v>1.0708233810272545</v>
      </c>
      <c r="F13" s="127"/>
      <c r="G13" s="123"/>
      <c r="H13" s="123"/>
    </row>
    <row r="14" spans="1:8" ht="15.75">
      <c r="A14" s="86" t="s">
        <v>3</v>
      </c>
      <c r="B14" s="87">
        <f>образование!E12</f>
        <v>0.9788352474125359</v>
      </c>
      <c r="C14" s="87">
        <f>образование!H12</f>
        <v>1.0770463889441533</v>
      </c>
      <c r="D14" s="88">
        <f>'коэффициент масштаба'!C11</f>
        <v>1.0892017738359203</v>
      </c>
      <c r="E14" s="87">
        <f t="shared" si="0"/>
        <v>1.0951172875400634</v>
      </c>
      <c r="F14" s="127"/>
      <c r="G14" s="123"/>
      <c r="H14" s="123"/>
    </row>
    <row r="15" spans="1:8" ht="15.75">
      <c r="A15" s="86" t="s">
        <v>4</v>
      </c>
      <c r="B15" s="87">
        <f>образование!E13</f>
        <v>1.0027112655858612</v>
      </c>
      <c r="C15" s="87">
        <f>образование!H13</f>
        <v>1.0584137169621504</v>
      </c>
      <c r="D15" s="88">
        <f>'коэффициент масштаба'!C12</f>
        <v>1.0933129933481154</v>
      </c>
      <c r="E15" s="87">
        <f t="shared" si="0"/>
        <v>1.0991956369139344</v>
      </c>
      <c r="F15" s="127"/>
      <c r="G15" s="123"/>
      <c r="H15" s="123"/>
    </row>
    <row r="16" spans="1:8" ht="15.75">
      <c r="A16" s="86" t="s">
        <v>12</v>
      </c>
      <c r="B16" s="87">
        <f>образование!E14</f>
        <v>0.9389367382932189</v>
      </c>
      <c r="C16" s="87">
        <f>образование!H14</f>
        <v>1.0528203277425183</v>
      </c>
      <c r="D16" s="88">
        <f>'коэффициент масштаба'!C13</f>
        <v>1.0920933037694014</v>
      </c>
      <c r="E16" s="87">
        <f t="shared" si="0"/>
        <v>1.0927364527097256</v>
      </c>
      <c r="F16" s="127"/>
      <c r="G16" s="123"/>
      <c r="H16" s="123"/>
    </row>
    <row r="17" spans="1:8" ht="15.75">
      <c r="A17" s="86" t="s">
        <v>5</v>
      </c>
      <c r="B17" s="87">
        <f>образование!E15</f>
        <v>0.8414579465133771</v>
      </c>
      <c r="C17" s="87">
        <f>образование!H15</f>
        <v>1.033043142708499</v>
      </c>
      <c r="D17" s="88">
        <f>'коэффициент масштаба'!C14</f>
        <v>1.0971618625277162</v>
      </c>
      <c r="E17" s="87">
        <f t="shared" si="0"/>
        <v>1.0886761943584133</v>
      </c>
      <c r="F17" s="127"/>
      <c r="G17" s="123"/>
      <c r="H17" s="123"/>
    </row>
    <row r="18" spans="1:8" ht="15.75">
      <c r="A18" s="86" t="s">
        <v>6</v>
      </c>
      <c r="B18" s="87">
        <f>образование!E16</f>
        <v>1.1825151914536465</v>
      </c>
      <c r="C18" s="87">
        <f>образование!H16</f>
        <v>1.0675553720483233</v>
      </c>
      <c r="D18" s="88">
        <f>'коэффициент масштаба'!C15</f>
        <v>1.0913477605321509</v>
      </c>
      <c r="E18" s="87">
        <f t="shared" si="0"/>
        <v>1.1113196297523873</v>
      </c>
      <c r="F18" s="127"/>
      <c r="G18" s="123"/>
      <c r="H18" s="123"/>
    </row>
    <row r="19" spans="1:8" ht="15.75">
      <c r="A19" s="86" t="s">
        <v>13</v>
      </c>
      <c r="B19" s="87">
        <f>образование!E17</f>
        <v>1.0152703452556258</v>
      </c>
      <c r="C19" s="87">
        <f>образование!H17</f>
        <v>1.1141974347789128</v>
      </c>
      <c r="D19" s="88">
        <f>'коэффициент масштаба'!C16</f>
        <v>1.0966279379157429</v>
      </c>
      <c r="E19" s="87">
        <f t="shared" si="0"/>
        <v>1.108899368889381</v>
      </c>
      <c r="F19" s="127"/>
      <c r="G19" s="123"/>
      <c r="H19" s="123"/>
    </row>
    <row r="20" spans="1:8" ht="15.75">
      <c r="A20" s="86" t="s">
        <v>101</v>
      </c>
      <c r="B20" s="87"/>
      <c r="C20" s="87"/>
      <c r="D20" s="88"/>
      <c r="E20" s="87"/>
      <c r="F20" s="127"/>
      <c r="G20" s="123"/>
      <c r="H20" s="123"/>
    </row>
    <row r="21" spans="1:8" ht="15.75">
      <c r="A21" s="86" t="s">
        <v>14</v>
      </c>
      <c r="B21" s="87">
        <f>образование!E19</f>
        <v>1.0088598967437783</v>
      </c>
      <c r="C21" s="87">
        <f>образование!H19</f>
        <v>1.0989637909561794</v>
      </c>
      <c r="D21" s="88">
        <f>'коэффициент масштаба'!C18</f>
        <v>1.0996493126385811</v>
      </c>
      <c r="E21" s="87">
        <f>(B21*B$7+C21*C$7+1-SUM(B$7:C$7))*D21</f>
        <v>1.1099892617798242</v>
      </c>
      <c r="F21" s="127"/>
      <c r="G21" s="123"/>
      <c r="H21" s="123"/>
    </row>
    <row r="22" spans="1:8" ht="15.75">
      <c r="A22" s="86" t="s">
        <v>15</v>
      </c>
      <c r="B22" s="87">
        <f>образование!E20</f>
        <v>0.9507790557415388</v>
      </c>
      <c r="C22" s="87">
        <f>образование!H20</f>
        <v>1.0200329434474953</v>
      </c>
      <c r="D22" s="88">
        <f>'коэффициент масштаба'!C19</f>
        <v>1.094989800443459</v>
      </c>
      <c r="E22" s="87">
        <f aca="true" t="shared" si="1" ref="E22:E47">(B22*B$7+C22*C$7+1-SUM(B$7:C$7))*D22</f>
        <v>1.0933129621944147</v>
      </c>
      <c r="F22" s="127"/>
      <c r="G22" s="123"/>
      <c r="H22" s="123"/>
    </row>
    <row r="23" spans="1:8" ht="15.75">
      <c r="A23" s="86" t="s">
        <v>16</v>
      </c>
      <c r="B23" s="87">
        <f>образование!E21</f>
        <v>0.9520878809556795</v>
      </c>
      <c r="C23" s="87">
        <f>образование!H21</f>
        <v>1.0848879346760236</v>
      </c>
      <c r="D23" s="88">
        <f>'коэффициент масштаба'!C20</f>
        <v>1.0991457206208426</v>
      </c>
      <c r="E23" s="87">
        <f t="shared" si="1"/>
        <v>1.1039027710099127</v>
      </c>
      <c r="F23" s="127"/>
      <c r="G23" s="123"/>
      <c r="H23" s="123"/>
    </row>
    <row r="24" spans="1:8" ht="15.75">
      <c r="A24" s="86" t="s">
        <v>36</v>
      </c>
      <c r="B24" s="87">
        <f>образование!E22</f>
        <v>0.9963976494170255</v>
      </c>
      <c r="C24" s="87">
        <f>образование!H22</f>
        <v>0.991881552920017</v>
      </c>
      <c r="D24" s="88">
        <f>'коэффициент масштаба'!C21</f>
        <v>1.0985016407982262</v>
      </c>
      <c r="E24" s="87">
        <f t="shared" si="1"/>
        <v>1.0974416138234628</v>
      </c>
      <c r="F24" s="127"/>
      <c r="G24" s="123"/>
      <c r="H24" s="123"/>
    </row>
    <row r="25" spans="1:8" ht="15.75">
      <c r="A25" s="86" t="s">
        <v>37</v>
      </c>
      <c r="B25" s="87">
        <f>образование!E23</f>
        <v>1.2725704705346013</v>
      </c>
      <c r="C25" s="87">
        <f>образование!H23</f>
        <v>1.2377804653272158</v>
      </c>
      <c r="D25" s="88">
        <f>'коэффициент масштаба'!C22</f>
        <v>1.0986933924611975</v>
      </c>
      <c r="E25" s="87">
        <f t="shared" si="1"/>
        <v>1.142104168988529</v>
      </c>
      <c r="F25" s="127"/>
      <c r="G25" s="123"/>
      <c r="H25" s="123"/>
    </row>
    <row r="26" spans="1:8" ht="15.75">
      <c r="A26" s="86" t="s">
        <v>7</v>
      </c>
      <c r="B26" s="87">
        <f>образование!E24</f>
        <v>0.9983923507325011</v>
      </c>
      <c r="C26" s="87">
        <f>образование!H24</f>
        <v>1.0230661120948152</v>
      </c>
      <c r="D26" s="88">
        <f>'коэффициент масштаба'!C23</f>
        <v>1.0976569401330378</v>
      </c>
      <c r="E26" s="87">
        <f t="shared" si="1"/>
        <v>1.0997911414427424</v>
      </c>
      <c r="F26" s="127"/>
      <c r="G26" s="123"/>
      <c r="H26" s="123"/>
    </row>
    <row r="27" spans="1:8" ht="15.75">
      <c r="A27" s="86" t="s">
        <v>8</v>
      </c>
      <c r="B27" s="87">
        <f>образование!E25</f>
        <v>1.0979865962146347</v>
      </c>
      <c r="C27" s="87">
        <f>образование!H25</f>
        <v>1.0493907837586107</v>
      </c>
      <c r="D27" s="88">
        <f>'коэффициент масштаба'!C24</f>
        <v>1.0788642128603105</v>
      </c>
      <c r="E27" s="87">
        <f t="shared" si="1"/>
        <v>1.0907236348150509</v>
      </c>
      <c r="F27" s="127"/>
      <c r="G27" s="123"/>
      <c r="H27" s="123"/>
    </row>
    <row r="28" spans="1:8" ht="15.75">
      <c r="A28" s="86" t="s">
        <v>9</v>
      </c>
      <c r="B28" s="87">
        <f>образование!E26</f>
        <v>0.9206894933208265</v>
      </c>
      <c r="C28" s="87">
        <f>образование!H26</f>
        <v>0.9870750917174212</v>
      </c>
      <c r="D28" s="88">
        <f>'коэффициент масштаба'!C25</f>
        <v>1.1</v>
      </c>
      <c r="E28" s="87">
        <f t="shared" si="1"/>
        <v>1.0928609012961823</v>
      </c>
      <c r="F28" s="127"/>
      <c r="G28" s="123"/>
      <c r="H28" s="123"/>
    </row>
    <row r="29" spans="1:8" ht="15.75">
      <c r="A29" s="86" t="s">
        <v>17</v>
      </c>
      <c r="B29" s="87">
        <f>образование!E27</f>
        <v>0.9556296324709211</v>
      </c>
      <c r="C29" s="87">
        <f>образование!H27</f>
        <v>1.1457233533906406</v>
      </c>
      <c r="D29" s="88">
        <f>'коэффициент масштаба'!C26</f>
        <v>1.0995904212860312</v>
      </c>
      <c r="E29" s="87">
        <f t="shared" si="1"/>
        <v>1.1105642608170252</v>
      </c>
      <c r="F29" s="127"/>
      <c r="G29" s="123"/>
      <c r="H29" s="123"/>
    </row>
    <row r="30" spans="1:8" ht="15.75">
      <c r="A30" s="86" t="s">
        <v>18</v>
      </c>
      <c r="B30" s="87">
        <f>образование!E28</f>
        <v>0.8007758015002251</v>
      </c>
      <c r="C30" s="87">
        <f>образование!H28</f>
        <v>0.9603201988849449</v>
      </c>
      <c r="D30" s="88">
        <f>'коэффициент масштаба'!C27</f>
        <v>1.0962169401330377</v>
      </c>
      <c r="E30" s="87">
        <f t="shared" si="1"/>
        <v>1.0776419198277067</v>
      </c>
      <c r="F30" s="127"/>
      <c r="G30" s="123"/>
      <c r="H30" s="123"/>
    </row>
    <row r="31" spans="1:8" ht="15.75">
      <c r="A31" s="86" t="s">
        <v>19</v>
      </c>
      <c r="B31" s="87">
        <f>образование!E29</f>
        <v>0.9888538410978319</v>
      </c>
      <c r="C31" s="87">
        <f>образование!H29</f>
        <v>1.0945307465459986</v>
      </c>
      <c r="D31" s="88">
        <f>'коэффициент масштаба'!C28</f>
        <v>1.0943130820399114</v>
      </c>
      <c r="E31" s="87">
        <f t="shared" si="1"/>
        <v>1.102697129175508</v>
      </c>
      <c r="F31" s="127"/>
      <c r="G31" s="123"/>
      <c r="H31" s="123"/>
    </row>
    <row r="32" spans="1:8" ht="15.75">
      <c r="A32" s="86" t="s">
        <v>20</v>
      </c>
      <c r="B32" s="87">
        <f>образование!E30</f>
        <v>0.7747391525244813</v>
      </c>
      <c r="C32" s="87">
        <f>образование!H30</f>
        <v>0.9288724503541091</v>
      </c>
      <c r="D32" s="88">
        <f>'коэффициент масштаба'!C29</f>
        <v>1.0992913525498893</v>
      </c>
      <c r="E32" s="87">
        <f t="shared" si="1"/>
        <v>1.0756608605389124</v>
      </c>
      <c r="F32" s="127"/>
      <c r="G32" s="123"/>
      <c r="H32" s="123"/>
    </row>
    <row r="33" spans="1:8" ht="15.75">
      <c r="A33" s="86" t="s">
        <v>21</v>
      </c>
      <c r="B33" s="87">
        <f>образование!E31</f>
        <v>0.8951066013706844</v>
      </c>
      <c r="C33" s="87">
        <f>образование!H31</f>
        <v>1.010073239643582</v>
      </c>
      <c r="D33" s="88">
        <f>'коэффициент масштаба'!C30</f>
        <v>1.0979430598669624</v>
      </c>
      <c r="E33" s="87">
        <f t="shared" si="1"/>
        <v>1.0911730789100031</v>
      </c>
      <c r="F33" s="127"/>
      <c r="G33" s="123"/>
      <c r="H33" s="123"/>
    </row>
    <row r="34" spans="1:8" ht="15.75">
      <c r="A34" s="86" t="s">
        <v>22</v>
      </c>
      <c r="B34" s="87">
        <f>образование!E32</f>
        <v>1.0475592968541878</v>
      </c>
      <c r="C34" s="87">
        <f>образование!H32</f>
        <v>1.0988932944168954</v>
      </c>
      <c r="D34" s="88">
        <f>'коэффициент масштаба'!C31</f>
        <v>1.098830332594235</v>
      </c>
      <c r="E34" s="87">
        <f t="shared" si="1"/>
        <v>1.1120188197492324</v>
      </c>
      <c r="F34" s="127"/>
      <c r="G34" s="123"/>
      <c r="H34" s="123"/>
    </row>
    <row r="35" spans="1:8" ht="15.75">
      <c r="A35" s="86" t="s">
        <v>23</v>
      </c>
      <c r="B35" s="87">
        <f>образование!E33</f>
        <v>0.956524433094217</v>
      </c>
      <c r="C35" s="87">
        <f>образование!H33</f>
        <v>1.0864549683877922</v>
      </c>
      <c r="D35" s="88">
        <f>'коэффициент масштаба'!C32</f>
        <v>1.0915253215077607</v>
      </c>
      <c r="E35" s="87">
        <f t="shared" si="1"/>
        <v>1.0967276496207883</v>
      </c>
      <c r="F35" s="127"/>
      <c r="G35" s="123"/>
      <c r="H35" s="123"/>
    </row>
    <row r="36" spans="1:8" ht="15.75">
      <c r="A36" s="89" t="s">
        <v>24</v>
      </c>
      <c r="B36" s="87">
        <f>образование!E34</f>
        <v>0.8486239161205511</v>
      </c>
      <c r="C36" s="87">
        <f>образование!H34</f>
        <v>1.1140003962862377</v>
      </c>
      <c r="D36" s="88">
        <f>'коэффициент масштаба'!C33</f>
        <v>1.0998774279379158</v>
      </c>
      <c r="E36" s="87">
        <f t="shared" si="1"/>
        <v>1.0998250369688154</v>
      </c>
      <c r="F36" s="127"/>
      <c r="G36" s="123"/>
      <c r="H36" s="123"/>
    </row>
    <row r="37" spans="1:8" ht="15.75">
      <c r="A37" s="86" t="s">
        <v>25</v>
      </c>
      <c r="B37" s="87">
        <f>образование!E35</f>
        <v>0.8611193376371353</v>
      </c>
      <c r="C37" s="87">
        <f>образование!H35</f>
        <v>0.9802887537344425</v>
      </c>
      <c r="D37" s="88">
        <f>'коэффициент масштаба'!C34</f>
        <v>1.0958534811529934</v>
      </c>
      <c r="E37" s="87">
        <f t="shared" si="1"/>
        <v>1.0836842258559136</v>
      </c>
      <c r="F37" s="127"/>
      <c r="G37" s="123"/>
      <c r="H37" s="123"/>
    </row>
    <row r="38" spans="1:8" ht="15.75">
      <c r="A38" s="86" t="s">
        <v>26</v>
      </c>
      <c r="B38" s="87">
        <f>образование!E36</f>
        <v>0.8566723241805152</v>
      </c>
      <c r="C38" s="87">
        <f>образование!H36</f>
        <v>0.9956101851702498</v>
      </c>
      <c r="D38" s="88">
        <f>'коэффициент масштаба'!C35</f>
        <v>1.0988727272727274</v>
      </c>
      <c r="E38" s="87">
        <f t="shared" si="1"/>
        <v>1.0878391233894356</v>
      </c>
      <c r="F38" s="127"/>
      <c r="G38" s="123"/>
      <c r="H38" s="123"/>
    </row>
    <row r="39" spans="1:8" ht="15.75">
      <c r="A39" s="86" t="s">
        <v>27</v>
      </c>
      <c r="B39" s="87">
        <f>образование!E37</f>
        <v>0.7987099867113735</v>
      </c>
      <c r="C39" s="87">
        <f>образование!H37</f>
        <v>1.0441941483236725</v>
      </c>
      <c r="D39" s="88">
        <f>'коэффициент масштаба'!C36</f>
        <v>1.0971189356984479</v>
      </c>
      <c r="E39" s="87">
        <f t="shared" si="1"/>
        <v>1.0865645211129564</v>
      </c>
      <c r="F39" s="127"/>
      <c r="G39" s="123"/>
      <c r="H39" s="123"/>
    </row>
    <row r="40" spans="1:8" ht="15.75">
      <c r="A40" s="86" t="s">
        <v>28</v>
      </c>
      <c r="B40" s="87">
        <f>образование!E38</f>
        <v>0.7951324070673146</v>
      </c>
      <c r="C40" s="87">
        <f>образование!H38</f>
        <v>1.0772051776804308</v>
      </c>
      <c r="D40" s="88">
        <f>'коэффициент масштаба'!C37</f>
        <v>1.0977066075388027</v>
      </c>
      <c r="E40" s="87">
        <f t="shared" si="1"/>
        <v>1.0901066708168887</v>
      </c>
      <c r="F40" s="127"/>
      <c r="G40" s="123"/>
      <c r="H40" s="123"/>
    </row>
    <row r="41" spans="1:8" ht="15.75">
      <c r="A41" s="86" t="s">
        <v>29</v>
      </c>
      <c r="B41" s="87">
        <f>образование!E39</f>
        <v>0.9104145256636059</v>
      </c>
      <c r="C41" s="87">
        <f>образование!H39</f>
        <v>1.066183456391052</v>
      </c>
      <c r="D41" s="88">
        <f>'коэффициент масштаба'!C38</f>
        <v>1.09394022172949</v>
      </c>
      <c r="E41" s="87">
        <f t="shared" si="1"/>
        <v>1.0937845075272175</v>
      </c>
      <c r="F41" s="127"/>
      <c r="G41" s="123"/>
      <c r="H41" s="123"/>
    </row>
    <row r="42" spans="1:8" ht="15.75">
      <c r="A42" s="86" t="s">
        <v>30</v>
      </c>
      <c r="B42" s="87">
        <f>образование!E40</f>
        <v>0.8415321777690309</v>
      </c>
      <c r="C42" s="87">
        <f>образование!H40</f>
        <v>1.1211073713074766</v>
      </c>
      <c r="D42" s="88">
        <f>'коэффициент масштаба'!C39</f>
        <v>1.0871065188470068</v>
      </c>
      <c r="E42" s="87">
        <f t="shared" si="1"/>
        <v>1.087223171065508</v>
      </c>
      <c r="F42" s="127"/>
      <c r="G42" s="123"/>
      <c r="H42" s="123"/>
    </row>
    <row r="43" spans="1:8" ht="15.75">
      <c r="A43" s="86" t="s">
        <v>31</v>
      </c>
      <c r="B43" s="87">
        <f>образование!E41</f>
        <v>0.8739975153025951</v>
      </c>
      <c r="C43" s="87">
        <f>образование!H41</f>
        <v>1.0605204703577404</v>
      </c>
      <c r="D43" s="88">
        <f>'коэффициент масштаба'!C40</f>
        <v>1.0975671840354768</v>
      </c>
      <c r="E43" s="87">
        <f t="shared" si="1"/>
        <v>1.0941666839755497</v>
      </c>
      <c r="F43" s="127"/>
      <c r="G43" s="123"/>
      <c r="H43" s="123"/>
    </row>
    <row r="44" spans="1:8" ht="15.75">
      <c r="A44" s="86" t="s">
        <v>32</v>
      </c>
      <c r="B44" s="87">
        <f>образование!E42</f>
        <v>0.907796155599115</v>
      </c>
      <c r="C44" s="87">
        <f>образование!H42</f>
        <v>0.9935085178934194</v>
      </c>
      <c r="D44" s="88">
        <f>'коэффициент масштаба'!C41</f>
        <v>1.0988459423503327</v>
      </c>
      <c r="E44" s="87">
        <f t="shared" si="1"/>
        <v>1.0913894952885286</v>
      </c>
      <c r="F44" s="127"/>
      <c r="G44" s="123"/>
      <c r="H44" s="123"/>
    </row>
    <row r="45" spans="1:8" ht="15.75">
      <c r="A45" s="86" t="s">
        <v>33</v>
      </c>
      <c r="B45" s="87">
        <f>образование!E43</f>
        <v>0.8495021083885113</v>
      </c>
      <c r="C45" s="87">
        <f>образование!H43</f>
        <v>0.9816386666319398</v>
      </c>
      <c r="D45" s="88">
        <f>'коэффициент масштаба'!C42</f>
        <v>1.0992202217294902</v>
      </c>
      <c r="E45" s="87">
        <f t="shared" si="1"/>
        <v>1.0862858290410753</v>
      </c>
      <c r="F45" s="127"/>
      <c r="G45" s="123"/>
      <c r="H45" s="123"/>
    </row>
    <row r="46" spans="1:8" ht="15.75">
      <c r="A46" s="86" t="s">
        <v>34</v>
      </c>
      <c r="B46" s="87">
        <f>образование!E44</f>
        <v>0.8195174790671869</v>
      </c>
      <c r="C46" s="87">
        <f>образование!H44</f>
        <v>1.0111816562389124</v>
      </c>
      <c r="D46" s="88">
        <f>'коэффициент масштаба'!C43</f>
        <v>1.0990825720620843</v>
      </c>
      <c r="E46" s="87">
        <f t="shared" si="1"/>
        <v>1.0868203107066359</v>
      </c>
      <c r="F46" s="127"/>
      <c r="G46" s="123"/>
      <c r="H46" s="123"/>
    </row>
    <row r="47" spans="1:8" ht="15.75">
      <c r="A47" s="86" t="s">
        <v>10</v>
      </c>
      <c r="B47" s="87">
        <f>образование!E45</f>
        <v>0.8782312806785404</v>
      </c>
      <c r="C47" s="87">
        <f>образование!H45</f>
        <v>0.9546672730100919</v>
      </c>
      <c r="D47" s="88">
        <f>'коэффициент масштаба'!C44</f>
        <v>1.0983916629711752</v>
      </c>
      <c r="E47" s="87">
        <f t="shared" si="1"/>
        <v>1.0849554355276696</v>
      </c>
      <c r="F47" s="127"/>
      <c r="G47" s="123"/>
      <c r="H47" s="123"/>
    </row>
    <row r="48" spans="1:5" ht="15.75">
      <c r="A48" s="90"/>
      <c r="B48" s="90"/>
      <c r="C48" s="90"/>
      <c r="D48" s="90"/>
      <c r="E48" s="90"/>
    </row>
    <row r="49" spans="1:5" ht="30.75" customHeight="1">
      <c r="A49" s="239" t="s">
        <v>151</v>
      </c>
      <c r="B49" s="239"/>
      <c r="C49" s="239"/>
      <c r="D49" s="239"/>
      <c r="E49" s="239"/>
    </row>
    <row r="50" spans="1:6" ht="16.5" customHeight="1">
      <c r="A50" s="237" t="s">
        <v>98</v>
      </c>
      <c r="B50" s="237"/>
      <c r="C50" s="237"/>
      <c r="D50" s="237"/>
      <c r="E50" s="137">
        <f>3239232.18864+458.808</f>
        <v>3239690.99664</v>
      </c>
      <c r="F50" s="55"/>
    </row>
    <row r="51" spans="1:6" ht="15.75">
      <c r="A51" s="237" t="s">
        <v>100</v>
      </c>
      <c r="B51" s="237"/>
      <c r="C51" s="237"/>
      <c r="D51" s="237"/>
      <c r="E51" s="137">
        <f>4259447.89837+22289.53754</f>
        <v>4281737.43591</v>
      </c>
      <c r="F51" s="55"/>
    </row>
    <row r="52" spans="1:6" ht="15.75">
      <c r="A52" s="238" t="s">
        <v>99</v>
      </c>
      <c r="B52" s="238"/>
      <c r="C52" s="238"/>
      <c r="D52" s="238"/>
      <c r="E52" s="137">
        <f>47731846.74964+821079.81718-436088.27452</f>
        <v>48116838.2923</v>
      </c>
      <c r="F52" s="55"/>
    </row>
    <row r="53" ht="15.75">
      <c r="F53" s="55"/>
    </row>
  </sheetData>
  <sheetProtection/>
  <mergeCells count="10">
    <mergeCell ref="A51:D51"/>
    <mergeCell ref="A50:D50"/>
    <mergeCell ref="A52:D52"/>
    <mergeCell ref="A49:E49"/>
    <mergeCell ref="A2:E2"/>
    <mergeCell ref="E5:E7"/>
    <mergeCell ref="A5:A7"/>
    <mergeCell ref="B4:C4"/>
    <mergeCell ref="D4:D7"/>
    <mergeCell ref="B5:C5"/>
  </mergeCells>
  <printOptions gridLines="1" horizontalCentered="1"/>
  <pageMargins left="0.15748031496062992" right="0.15748031496062992" top="0.5118110236220472" bottom="0.15748031496062992" header="0.31496062992125984" footer="0.15748031496062992"/>
  <pageSetup horizontalDpi="300" verticalDpi="300" orientation="portrait" paperSize="9" scale="85" r:id="rId1"/>
  <headerFooter differentFirst="1"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theme="5" tint="-0.24997000396251678"/>
    <pageSetUpPr fitToPage="1"/>
  </sheetPr>
  <dimension ref="A1:L46"/>
  <sheetViews>
    <sheetView zoomScale="75" zoomScaleNormal="75" zoomScalePageLayoutView="0" workbookViewId="0" topLeftCell="A1">
      <pane xSplit="1" ySplit="6" topLeftCell="B7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A2" sqref="A2:H2"/>
    </sheetView>
  </sheetViews>
  <sheetFormatPr defaultColWidth="9.00390625" defaultRowHeight="12.75"/>
  <cols>
    <col min="1" max="1" width="23.25390625" style="57" customWidth="1"/>
    <col min="2" max="2" width="15.25390625" style="54" customWidth="1"/>
    <col min="3" max="3" width="15.00390625" style="55" customWidth="1"/>
    <col min="4" max="4" width="7.00390625" style="55" customWidth="1"/>
    <col min="5" max="5" width="9.25390625" style="55" customWidth="1"/>
    <col min="6" max="6" width="14.75390625" style="55" customWidth="1"/>
    <col min="7" max="7" width="7.25390625" style="55" customWidth="1"/>
    <col min="8" max="8" width="11.125" style="55" customWidth="1"/>
    <col min="9" max="9" width="9.125" style="54" customWidth="1"/>
    <col min="10" max="10" width="53.875" style="55" customWidth="1"/>
    <col min="11" max="11" width="12.125" style="55" bestFit="1" customWidth="1"/>
    <col min="12" max="12" width="9.125" style="55" customWidth="1"/>
    <col min="13" max="16384" width="9.125" style="54" customWidth="1"/>
  </cols>
  <sheetData>
    <row r="1" spans="1:8" ht="15.75">
      <c r="A1" s="67"/>
      <c r="B1" s="65"/>
      <c r="C1" s="65"/>
      <c r="D1" s="65"/>
      <c r="E1" s="65"/>
      <c r="F1" s="65"/>
      <c r="G1" s="65"/>
      <c r="H1" s="66" t="s">
        <v>118</v>
      </c>
    </row>
    <row r="2" spans="1:8" ht="15.75" customHeight="1">
      <c r="A2" s="249" t="s">
        <v>112</v>
      </c>
      <c r="B2" s="249"/>
      <c r="C2" s="249"/>
      <c r="D2" s="249"/>
      <c r="E2" s="249"/>
      <c r="F2" s="249"/>
      <c r="G2" s="249"/>
      <c r="H2" s="249"/>
    </row>
    <row r="3" spans="1:8" s="55" customFormat="1" ht="15.75" customHeight="1">
      <c r="A3" s="250" t="s">
        <v>150</v>
      </c>
      <c r="B3" s="250"/>
      <c r="C3" s="250"/>
      <c r="D3" s="250"/>
      <c r="E3" s="250"/>
      <c r="F3" s="250"/>
      <c r="G3" s="250"/>
      <c r="H3" s="250"/>
    </row>
    <row r="4" spans="1:8" s="55" customFormat="1" ht="12" customHeight="1">
      <c r="A4" s="181"/>
      <c r="B4" s="181"/>
      <c r="C4" s="181"/>
      <c r="D4" s="181"/>
      <c r="E4" s="181"/>
      <c r="F4" s="181"/>
      <c r="G4" s="181"/>
      <c r="H4" s="181"/>
    </row>
    <row r="5" spans="1:12" s="56" customFormat="1" ht="69" customHeight="1">
      <c r="A5" s="60" t="s">
        <v>49</v>
      </c>
      <c r="B5" s="60" t="s">
        <v>140</v>
      </c>
      <c r="C5" s="60" t="s">
        <v>111</v>
      </c>
      <c r="D5" s="60" t="s">
        <v>109</v>
      </c>
      <c r="E5" s="60" t="str">
        <f>"Индекс (дошк.)
(4)/"&amp;ROUND(D46,1)</f>
        <v>Индекс (дошк.)
(4)/52,2</v>
      </c>
      <c r="F5" s="60" t="s">
        <v>110</v>
      </c>
      <c r="G5" s="60" t="s">
        <v>109</v>
      </c>
      <c r="H5" s="60" t="str">
        <f>"Индекс (школьн.)
(7)/"&amp;ROUND(G46,1)</f>
        <v>Индекс (школьн.)
(7)/123,2</v>
      </c>
      <c r="J5" s="55"/>
      <c r="K5" s="55"/>
      <c r="L5" s="55"/>
    </row>
    <row r="6" spans="1:12" s="56" customFormat="1" ht="15.75">
      <c r="A6" s="59" t="s">
        <v>38</v>
      </c>
      <c r="B6" s="59" t="s">
        <v>39</v>
      </c>
      <c r="C6" s="59" t="s">
        <v>40</v>
      </c>
      <c r="D6" s="59" t="s">
        <v>41</v>
      </c>
      <c r="E6" s="59" t="s">
        <v>42</v>
      </c>
      <c r="F6" s="59" t="s">
        <v>47</v>
      </c>
      <c r="G6" s="59" t="s">
        <v>43</v>
      </c>
      <c r="H6" s="59" t="s">
        <v>45</v>
      </c>
      <c r="J6" s="55"/>
      <c r="K6" s="55"/>
      <c r="L6" s="55"/>
    </row>
    <row r="7" spans="1:8" s="55" customFormat="1" ht="15.75">
      <c r="A7" s="15" t="s">
        <v>117</v>
      </c>
      <c r="B7" s="90"/>
      <c r="C7" s="91"/>
      <c r="D7" s="91"/>
      <c r="E7" s="91"/>
      <c r="F7" s="91"/>
      <c r="G7" s="91"/>
      <c r="H7" s="91"/>
    </row>
    <row r="8" spans="1:10" ht="15.75">
      <c r="A8" s="86" t="s">
        <v>0</v>
      </c>
      <c r="B8" s="92">
        <v>1144793</v>
      </c>
      <c r="C8" s="14">
        <v>64678</v>
      </c>
      <c r="D8" s="93">
        <f>C8/$B8*1000</f>
        <v>56.49755021213442</v>
      </c>
      <c r="E8" s="94">
        <f>D8/D$46</f>
        <v>1.0822980526644483</v>
      </c>
      <c r="F8" s="105">
        <v>130747</v>
      </c>
      <c r="G8" s="93">
        <f>F8/$B8*1000</f>
        <v>114.21016725294442</v>
      </c>
      <c r="H8" s="94">
        <f>G8/G$46</f>
        <v>0.9270019633901163</v>
      </c>
      <c r="J8" s="128"/>
    </row>
    <row r="9" spans="1:10" ht="15.75">
      <c r="A9" s="86" t="s">
        <v>1</v>
      </c>
      <c r="B9" s="92">
        <v>693072</v>
      </c>
      <c r="C9" s="14">
        <v>34559</v>
      </c>
      <c r="D9" s="93">
        <f aca="true" t="shared" si="0" ref="D9:D17">C9/$B9*1000</f>
        <v>49.86350624466145</v>
      </c>
      <c r="E9" s="94">
        <f aca="true" t="shared" si="1" ref="E9:E45">D9/D$46</f>
        <v>0.9552126686021812</v>
      </c>
      <c r="F9" s="95">
        <v>88782</v>
      </c>
      <c r="G9" s="93">
        <f aca="true" t="shared" si="2" ref="G9:G17">F9/$B9*1000</f>
        <v>128.09924510007616</v>
      </c>
      <c r="H9" s="94">
        <f aca="true" t="shared" si="3" ref="H9:H16">G9/G$46</f>
        <v>1.0397345050162417</v>
      </c>
      <c r="J9" s="128"/>
    </row>
    <row r="10" spans="1:10" ht="15.75">
      <c r="A10" s="86" t="s">
        <v>2</v>
      </c>
      <c r="B10" s="92">
        <v>165896</v>
      </c>
      <c r="C10" s="14">
        <v>8273</v>
      </c>
      <c r="D10" s="93">
        <f t="shared" si="0"/>
        <v>49.86859237112408</v>
      </c>
      <c r="E10" s="94">
        <f t="shared" si="1"/>
        <v>0.9553101012297099</v>
      </c>
      <c r="F10" s="95">
        <v>20728</v>
      </c>
      <c r="G10" s="93">
        <f t="shared" si="2"/>
        <v>124.94574914404205</v>
      </c>
      <c r="H10" s="94">
        <f t="shared" si="3"/>
        <v>1.0141387370290353</v>
      </c>
      <c r="J10" s="128"/>
    </row>
    <row r="11" spans="1:10" ht="15.75">
      <c r="A11" s="86" t="s">
        <v>11</v>
      </c>
      <c r="B11" s="92">
        <v>101555</v>
      </c>
      <c r="C11" s="14">
        <v>4727</v>
      </c>
      <c r="D11" s="93">
        <f t="shared" si="0"/>
        <v>46.54620648909458</v>
      </c>
      <c r="E11" s="94">
        <f t="shared" si="1"/>
        <v>0.8916646554215467</v>
      </c>
      <c r="F11" s="95">
        <v>11851</v>
      </c>
      <c r="G11" s="93">
        <f t="shared" si="2"/>
        <v>116.6953867362513</v>
      </c>
      <c r="H11" s="94">
        <f t="shared" si="3"/>
        <v>0.9471735767927878</v>
      </c>
      <c r="J11" s="128"/>
    </row>
    <row r="12" spans="1:10" ht="15.75">
      <c r="A12" s="86" t="s">
        <v>3</v>
      </c>
      <c r="B12" s="92">
        <v>70944</v>
      </c>
      <c r="C12" s="14">
        <v>3625</v>
      </c>
      <c r="D12" s="93">
        <f t="shared" si="0"/>
        <v>51.0966396030672</v>
      </c>
      <c r="E12" s="94">
        <f t="shared" si="1"/>
        <v>0.9788352474125359</v>
      </c>
      <c r="F12" s="95">
        <v>9414</v>
      </c>
      <c r="G12" s="93">
        <f t="shared" si="2"/>
        <v>132.69621109607576</v>
      </c>
      <c r="H12" s="94">
        <f t="shared" si="3"/>
        <v>1.0770463889441533</v>
      </c>
      <c r="J12" s="128"/>
    </row>
    <row r="13" spans="1:10" ht="15.75">
      <c r="A13" s="86" t="s">
        <v>4</v>
      </c>
      <c r="B13" s="92">
        <v>47055</v>
      </c>
      <c r="C13" s="14">
        <v>2463</v>
      </c>
      <c r="D13" s="93">
        <f t="shared" si="0"/>
        <v>52.343002868983106</v>
      </c>
      <c r="E13" s="94">
        <f t="shared" si="1"/>
        <v>1.0027112655858612</v>
      </c>
      <c r="F13" s="95">
        <v>6136</v>
      </c>
      <c r="G13" s="93">
        <f t="shared" si="2"/>
        <v>130.40059504834767</v>
      </c>
      <c r="H13" s="94">
        <f t="shared" si="3"/>
        <v>1.0584137169621504</v>
      </c>
      <c r="J13" s="128"/>
    </row>
    <row r="14" spans="1:10" ht="15.75">
      <c r="A14" s="86" t="s">
        <v>12</v>
      </c>
      <c r="B14" s="92">
        <v>54760</v>
      </c>
      <c r="C14" s="14">
        <v>2684</v>
      </c>
      <c r="D14" s="93">
        <f t="shared" si="0"/>
        <v>49.01387874360847</v>
      </c>
      <c r="E14" s="94">
        <f t="shared" si="1"/>
        <v>0.9389367382932189</v>
      </c>
      <c r="F14" s="95">
        <v>7103</v>
      </c>
      <c r="G14" s="93">
        <f t="shared" si="2"/>
        <v>129.71146822498176</v>
      </c>
      <c r="H14" s="94">
        <f t="shared" si="3"/>
        <v>1.0528203277425183</v>
      </c>
      <c r="J14" s="128"/>
    </row>
    <row r="15" spans="1:10" ht="15.75">
      <c r="A15" s="86" t="s">
        <v>5</v>
      </c>
      <c r="B15" s="92">
        <v>25771</v>
      </c>
      <c r="C15" s="14">
        <v>1132</v>
      </c>
      <c r="D15" s="93">
        <f t="shared" si="0"/>
        <v>43.92534243917582</v>
      </c>
      <c r="E15" s="94">
        <f t="shared" si="1"/>
        <v>0.8414579465133771</v>
      </c>
      <c r="F15" s="95">
        <v>3280</v>
      </c>
      <c r="G15" s="93">
        <f t="shared" si="2"/>
        <v>127.27484381669318</v>
      </c>
      <c r="H15" s="94">
        <f t="shared" si="3"/>
        <v>1.033043142708499</v>
      </c>
      <c r="J15" s="128"/>
    </row>
    <row r="16" spans="1:10" ht="15.75">
      <c r="A16" s="86" t="s">
        <v>6</v>
      </c>
      <c r="B16" s="92">
        <v>58125</v>
      </c>
      <c r="C16" s="14">
        <v>3588</v>
      </c>
      <c r="D16" s="93">
        <f t="shared" si="0"/>
        <v>61.729032258064514</v>
      </c>
      <c r="E16" s="94">
        <f t="shared" si="1"/>
        <v>1.1825151914536465</v>
      </c>
      <c r="F16" s="95">
        <v>7645</v>
      </c>
      <c r="G16" s="93">
        <f t="shared" si="2"/>
        <v>131.5268817204301</v>
      </c>
      <c r="H16" s="94">
        <f t="shared" si="3"/>
        <v>1.0675553720483233</v>
      </c>
      <c r="J16" s="128"/>
    </row>
    <row r="17" spans="1:10" ht="15.75">
      <c r="A17" s="86" t="s">
        <v>13</v>
      </c>
      <c r="B17" s="92">
        <v>28680</v>
      </c>
      <c r="C17" s="14">
        <v>1520</v>
      </c>
      <c r="D17" s="93">
        <f t="shared" si="0"/>
        <v>52.99860529986053</v>
      </c>
      <c r="E17" s="94">
        <f>D17/D$46</f>
        <v>1.0152703452556258</v>
      </c>
      <c r="F17" s="95">
        <v>3937</v>
      </c>
      <c r="G17" s="93">
        <f t="shared" si="2"/>
        <v>137.27336122733612</v>
      </c>
      <c r="H17" s="94">
        <f>G17/G$46</f>
        <v>1.1141974347789128</v>
      </c>
      <c r="J17" s="128"/>
    </row>
    <row r="18" spans="1:10" ht="15.75">
      <c r="A18" s="86" t="s">
        <v>101</v>
      </c>
      <c r="B18" s="96"/>
      <c r="C18" s="97"/>
      <c r="D18" s="93"/>
      <c r="E18" s="94"/>
      <c r="F18" s="95"/>
      <c r="G18" s="93"/>
      <c r="H18" s="94"/>
      <c r="J18" s="128"/>
    </row>
    <row r="19" spans="1:10" ht="15.75">
      <c r="A19" s="86" t="s">
        <v>14</v>
      </c>
      <c r="B19" s="92">
        <v>11374</v>
      </c>
      <c r="C19" s="14">
        <v>599</v>
      </c>
      <c r="D19" s="93">
        <f>C19/$B19*1000</f>
        <v>52.66397045894144</v>
      </c>
      <c r="E19" s="94">
        <f t="shared" si="1"/>
        <v>1.0088598967437783</v>
      </c>
      <c r="F19" s="95">
        <v>1540</v>
      </c>
      <c r="G19" s="93">
        <f>F19/$B19*1000</f>
        <v>135.39651837524178</v>
      </c>
      <c r="H19" s="94">
        <f>G19/G$46</f>
        <v>1.0989637909561794</v>
      </c>
      <c r="J19" s="128"/>
    </row>
    <row r="20" spans="1:10" ht="15.75">
      <c r="A20" s="86" t="s">
        <v>15</v>
      </c>
      <c r="B20" s="92">
        <v>38322</v>
      </c>
      <c r="C20" s="14">
        <v>1902</v>
      </c>
      <c r="D20" s="93">
        <f aca="true" t="shared" si="4" ref="D20:D45">C20/$B20*1000</f>
        <v>49.632065132299985</v>
      </c>
      <c r="E20" s="94">
        <f t="shared" si="1"/>
        <v>0.9507790557415388</v>
      </c>
      <c r="F20" s="95">
        <v>4816</v>
      </c>
      <c r="G20" s="93">
        <f aca="true" t="shared" si="5" ref="G20:G45">F20/$B20*1000</f>
        <v>125.67193779030322</v>
      </c>
      <c r="H20" s="94">
        <f aca="true" t="shared" si="6" ref="H20:H44">G20/G$46</f>
        <v>1.0200329434474953</v>
      </c>
      <c r="J20" s="128"/>
    </row>
    <row r="21" spans="1:10" ht="15.75">
      <c r="A21" s="86" t="s">
        <v>16</v>
      </c>
      <c r="B21" s="92">
        <v>14185</v>
      </c>
      <c r="C21" s="14">
        <v>705</v>
      </c>
      <c r="D21" s="93">
        <f t="shared" si="4"/>
        <v>49.700387733521325</v>
      </c>
      <c r="E21" s="94">
        <f t="shared" si="1"/>
        <v>0.9520878809556795</v>
      </c>
      <c r="F21" s="95">
        <v>1896</v>
      </c>
      <c r="G21" s="93">
        <f t="shared" si="5"/>
        <v>133.66231935142756</v>
      </c>
      <c r="H21" s="94">
        <f t="shared" si="6"/>
        <v>1.0848879346760236</v>
      </c>
      <c r="J21" s="128"/>
    </row>
    <row r="22" spans="1:10" ht="15.75">
      <c r="A22" s="86" t="s">
        <v>36</v>
      </c>
      <c r="B22" s="92">
        <v>17880</v>
      </c>
      <c r="C22" s="14">
        <v>930</v>
      </c>
      <c r="D22" s="93">
        <f t="shared" si="4"/>
        <v>52.013422818791945</v>
      </c>
      <c r="E22" s="94">
        <f t="shared" si="1"/>
        <v>0.9963976494170255</v>
      </c>
      <c r="F22" s="95">
        <v>2185</v>
      </c>
      <c r="G22" s="93">
        <f t="shared" si="5"/>
        <v>122.20357941834452</v>
      </c>
      <c r="H22" s="94">
        <f t="shared" si="6"/>
        <v>0.991881552920017</v>
      </c>
      <c r="J22" s="128"/>
    </row>
    <row r="23" spans="1:10" ht="15.75">
      <c r="A23" s="86" t="s">
        <v>37</v>
      </c>
      <c r="B23" s="92">
        <v>16905</v>
      </c>
      <c r="C23" s="14">
        <v>1123</v>
      </c>
      <c r="D23" s="93">
        <f t="shared" si="4"/>
        <v>66.43005028098196</v>
      </c>
      <c r="E23" s="94">
        <f t="shared" si="1"/>
        <v>1.2725704705346013</v>
      </c>
      <c r="F23" s="95">
        <v>2578</v>
      </c>
      <c r="G23" s="93">
        <f t="shared" si="5"/>
        <v>152.49926057379474</v>
      </c>
      <c r="H23" s="94">
        <f t="shared" si="6"/>
        <v>1.2377804653272158</v>
      </c>
      <c r="J23" s="128"/>
    </row>
    <row r="24" spans="1:10" ht="15.75">
      <c r="A24" s="86" t="s">
        <v>7</v>
      </c>
      <c r="B24" s="92">
        <v>22833</v>
      </c>
      <c r="C24" s="14">
        <v>1190</v>
      </c>
      <c r="D24" s="93">
        <f t="shared" si="4"/>
        <v>52.117549161301625</v>
      </c>
      <c r="E24" s="94">
        <f t="shared" si="1"/>
        <v>0.9983923507325011</v>
      </c>
      <c r="F24" s="95">
        <v>2878</v>
      </c>
      <c r="G24" s="93">
        <f t="shared" si="5"/>
        <v>126.045635702711</v>
      </c>
      <c r="H24" s="94">
        <f t="shared" si="6"/>
        <v>1.0230661120948152</v>
      </c>
      <c r="J24" s="128"/>
    </row>
    <row r="25" spans="1:10" ht="15.75">
      <c r="A25" s="86" t="s">
        <v>8</v>
      </c>
      <c r="B25" s="92">
        <v>122408</v>
      </c>
      <c r="C25" s="14">
        <v>7016</v>
      </c>
      <c r="D25" s="93">
        <f t="shared" si="4"/>
        <v>57.3165152604405</v>
      </c>
      <c r="E25" s="94">
        <f t="shared" si="1"/>
        <v>1.0979865962146347</v>
      </c>
      <c r="F25" s="95">
        <v>15826</v>
      </c>
      <c r="G25" s="93">
        <f t="shared" si="5"/>
        <v>129.28893536370174</v>
      </c>
      <c r="H25" s="94">
        <f t="shared" si="6"/>
        <v>1.0493907837586107</v>
      </c>
      <c r="J25" s="128"/>
    </row>
    <row r="26" spans="1:10" ht="15.75">
      <c r="A26" s="86" t="s">
        <v>9</v>
      </c>
      <c r="B26" s="92">
        <v>9259</v>
      </c>
      <c r="C26" s="14">
        <v>445</v>
      </c>
      <c r="D26" s="93">
        <f t="shared" si="4"/>
        <v>48.0613457176801</v>
      </c>
      <c r="E26" s="94">
        <f t="shared" si="1"/>
        <v>0.9206894933208265</v>
      </c>
      <c r="F26" s="95">
        <v>1126</v>
      </c>
      <c r="G26" s="93">
        <f t="shared" si="5"/>
        <v>121.61140511934335</v>
      </c>
      <c r="H26" s="94">
        <f t="shared" si="6"/>
        <v>0.9870750917174212</v>
      </c>
      <c r="J26" s="128"/>
    </row>
    <row r="27" spans="1:10" ht="15.75">
      <c r="A27" s="86" t="s">
        <v>17</v>
      </c>
      <c r="B27" s="92">
        <v>11767</v>
      </c>
      <c r="C27" s="14">
        <v>587</v>
      </c>
      <c r="D27" s="93">
        <f t="shared" si="4"/>
        <v>49.88527237188748</v>
      </c>
      <c r="E27" s="94">
        <f t="shared" si="1"/>
        <v>0.9556296324709211</v>
      </c>
      <c r="F27" s="95">
        <v>1661</v>
      </c>
      <c r="G27" s="93">
        <f t="shared" si="5"/>
        <v>141.15747429251297</v>
      </c>
      <c r="H27" s="94">
        <f t="shared" si="6"/>
        <v>1.1457233533906406</v>
      </c>
      <c r="J27" s="128"/>
    </row>
    <row r="28" spans="1:10" ht="15.75">
      <c r="A28" s="86" t="s">
        <v>18</v>
      </c>
      <c r="B28" s="92">
        <v>31171</v>
      </c>
      <c r="C28" s="14">
        <v>1303</v>
      </c>
      <c r="D28" s="93">
        <f t="shared" si="4"/>
        <v>41.801674633473425</v>
      </c>
      <c r="E28" s="94">
        <f t="shared" si="1"/>
        <v>0.8007758015002251</v>
      </c>
      <c r="F28" s="95">
        <v>3688</v>
      </c>
      <c r="G28" s="93">
        <f t="shared" si="5"/>
        <v>118.3151005742517</v>
      </c>
      <c r="H28" s="94">
        <f t="shared" si="6"/>
        <v>0.9603201988849449</v>
      </c>
      <c r="J28" s="128"/>
    </row>
    <row r="29" spans="1:10" ht="15.75">
      <c r="A29" s="86" t="s">
        <v>19</v>
      </c>
      <c r="B29" s="92">
        <v>42232</v>
      </c>
      <c r="C29" s="14">
        <v>2180</v>
      </c>
      <c r="D29" s="93">
        <f t="shared" si="4"/>
        <v>51.619624928963816</v>
      </c>
      <c r="E29" s="94">
        <f t="shared" si="1"/>
        <v>0.9888538410978319</v>
      </c>
      <c r="F29" s="95">
        <v>5695</v>
      </c>
      <c r="G29" s="93">
        <f t="shared" si="5"/>
        <v>134.85035044516005</v>
      </c>
      <c r="H29" s="94">
        <f t="shared" si="6"/>
        <v>1.0945307465459986</v>
      </c>
      <c r="J29" s="128"/>
    </row>
    <row r="30" spans="1:10" ht="15.75">
      <c r="A30" s="86" t="s">
        <v>20</v>
      </c>
      <c r="B30" s="92">
        <v>13649</v>
      </c>
      <c r="C30" s="14">
        <v>552</v>
      </c>
      <c r="D30" s="93">
        <f t="shared" si="4"/>
        <v>40.44252326177742</v>
      </c>
      <c r="E30" s="94">
        <f t="shared" si="1"/>
        <v>0.7747391525244813</v>
      </c>
      <c r="F30" s="95">
        <v>1562</v>
      </c>
      <c r="G30" s="93">
        <f t="shared" si="5"/>
        <v>114.44061836031943</v>
      </c>
      <c r="H30" s="94">
        <f t="shared" si="6"/>
        <v>0.9288724503541091</v>
      </c>
      <c r="J30" s="128"/>
    </row>
    <row r="31" spans="1:10" ht="15.75">
      <c r="A31" s="86" t="s">
        <v>21</v>
      </c>
      <c r="B31" s="92">
        <v>21166</v>
      </c>
      <c r="C31" s="14">
        <v>989</v>
      </c>
      <c r="D31" s="93">
        <f t="shared" si="4"/>
        <v>46.72588113011433</v>
      </c>
      <c r="E31" s="94">
        <f t="shared" si="1"/>
        <v>0.8951066013706844</v>
      </c>
      <c r="F31" s="95">
        <v>2634</v>
      </c>
      <c r="G31" s="93">
        <f t="shared" si="5"/>
        <v>124.44486440517811</v>
      </c>
      <c r="H31" s="94">
        <f t="shared" si="6"/>
        <v>1.010073239643582</v>
      </c>
      <c r="J31" s="128"/>
    </row>
    <row r="32" spans="1:10" ht="15.75">
      <c r="A32" s="86" t="s">
        <v>22</v>
      </c>
      <c r="B32" s="92">
        <v>16257</v>
      </c>
      <c r="C32" s="14">
        <v>889</v>
      </c>
      <c r="D32" s="93">
        <f t="shared" si="4"/>
        <v>54.68413606446454</v>
      </c>
      <c r="E32" s="94">
        <f t="shared" si="1"/>
        <v>1.0475592968541878</v>
      </c>
      <c r="F32" s="95">
        <v>2201</v>
      </c>
      <c r="G32" s="93">
        <f t="shared" si="5"/>
        <v>135.38783293350556</v>
      </c>
      <c r="H32" s="94">
        <f t="shared" si="6"/>
        <v>1.0988932944168954</v>
      </c>
      <c r="J32" s="128"/>
    </row>
    <row r="33" spans="1:10" ht="15.75">
      <c r="A33" s="86" t="s">
        <v>23</v>
      </c>
      <c r="B33" s="92">
        <v>57338</v>
      </c>
      <c r="C33" s="14">
        <v>2863</v>
      </c>
      <c r="D33" s="93">
        <f t="shared" si="4"/>
        <v>49.93198228051205</v>
      </c>
      <c r="E33" s="94">
        <f t="shared" si="1"/>
        <v>0.956524433094217</v>
      </c>
      <c r="F33" s="95">
        <v>7675</v>
      </c>
      <c r="G33" s="93">
        <f t="shared" si="5"/>
        <v>133.85538386410408</v>
      </c>
      <c r="H33" s="94">
        <f t="shared" si="6"/>
        <v>1.0864549683877922</v>
      </c>
      <c r="J33" s="128"/>
    </row>
    <row r="34" spans="1:10" ht="15.75">
      <c r="A34" s="89" t="s">
        <v>24</v>
      </c>
      <c r="B34" s="92">
        <v>10113</v>
      </c>
      <c r="C34" s="14">
        <v>448</v>
      </c>
      <c r="D34" s="93">
        <f t="shared" si="4"/>
        <v>44.2994165925047</v>
      </c>
      <c r="E34" s="94">
        <f t="shared" si="1"/>
        <v>0.8486239161205511</v>
      </c>
      <c r="F34" s="95">
        <v>1388</v>
      </c>
      <c r="G34" s="93">
        <f t="shared" si="5"/>
        <v>137.24908533570652</v>
      </c>
      <c r="H34" s="94">
        <f t="shared" si="6"/>
        <v>1.1140003962862377</v>
      </c>
      <c r="J34" s="128"/>
    </row>
    <row r="35" spans="1:10" ht="15.75">
      <c r="A35" s="86" t="s">
        <v>25</v>
      </c>
      <c r="B35" s="92">
        <v>32813</v>
      </c>
      <c r="C35" s="14">
        <v>1475</v>
      </c>
      <c r="D35" s="93">
        <f t="shared" si="4"/>
        <v>44.95169597415658</v>
      </c>
      <c r="E35" s="94">
        <f t="shared" si="1"/>
        <v>0.8611193376371353</v>
      </c>
      <c r="F35" s="95">
        <v>3963</v>
      </c>
      <c r="G35" s="93">
        <f t="shared" si="5"/>
        <v>120.77530247158138</v>
      </c>
      <c r="H35" s="94">
        <f t="shared" si="6"/>
        <v>0.9802887537344425</v>
      </c>
      <c r="J35" s="128"/>
    </row>
    <row r="36" spans="1:10" ht="15.75">
      <c r="A36" s="86" t="s">
        <v>26</v>
      </c>
      <c r="B36" s="92">
        <v>15832</v>
      </c>
      <c r="C36" s="14">
        <v>708</v>
      </c>
      <c r="D36" s="93">
        <f t="shared" si="4"/>
        <v>44.71955533097524</v>
      </c>
      <c r="E36" s="94">
        <f t="shared" si="1"/>
        <v>0.8566723241805152</v>
      </c>
      <c r="F36" s="95">
        <v>1942</v>
      </c>
      <c r="G36" s="93">
        <f t="shared" si="5"/>
        <v>122.66296109146035</v>
      </c>
      <c r="H36" s="94">
        <f t="shared" si="6"/>
        <v>0.9956101851702498</v>
      </c>
      <c r="J36" s="128"/>
    </row>
    <row r="37" spans="1:10" ht="15.75">
      <c r="A37" s="86" t="s">
        <v>27</v>
      </c>
      <c r="B37" s="92">
        <v>26071</v>
      </c>
      <c r="C37" s="14">
        <v>1087</v>
      </c>
      <c r="D37" s="93">
        <f t="shared" si="4"/>
        <v>41.69383606305857</v>
      </c>
      <c r="E37" s="94">
        <f t="shared" si="1"/>
        <v>0.7987099867113735</v>
      </c>
      <c r="F37" s="95">
        <v>3354</v>
      </c>
      <c r="G37" s="93">
        <f t="shared" si="5"/>
        <v>128.64869011545397</v>
      </c>
      <c r="H37" s="94">
        <f t="shared" si="6"/>
        <v>1.0441941483236725</v>
      </c>
      <c r="J37" s="128"/>
    </row>
    <row r="38" spans="1:10" ht="15.75">
      <c r="A38" s="86" t="s">
        <v>28</v>
      </c>
      <c r="B38" s="92">
        <v>22454</v>
      </c>
      <c r="C38" s="14">
        <v>932</v>
      </c>
      <c r="D38" s="93">
        <f t="shared" si="4"/>
        <v>41.507081143671506</v>
      </c>
      <c r="E38" s="94">
        <f t="shared" si="1"/>
        <v>0.7951324070673146</v>
      </c>
      <c r="F38" s="95">
        <v>2980</v>
      </c>
      <c r="G38" s="93">
        <f t="shared" si="5"/>
        <v>132.7157744722544</v>
      </c>
      <c r="H38" s="94">
        <f t="shared" si="6"/>
        <v>1.0772051776804308</v>
      </c>
      <c r="J38" s="128"/>
    </row>
    <row r="39" spans="1:10" ht="15.75">
      <c r="A39" s="86" t="s">
        <v>29</v>
      </c>
      <c r="B39" s="92">
        <v>44040</v>
      </c>
      <c r="C39" s="14">
        <v>2093</v>
      </c>
      <c r="D39" s="93">
        <f t="shared" si="4"/>
        <v>47.524977293369666</v>
      </c>
      <c r="E39" s="94">
        <f t="shared" si="1"/>
        <v>0.9104145256636059</v>
      </c>
      <c r="F39" s="95">
        <v>5785</v>
      </c>
      <c r="G39" s="93">
        <f t="shared" si="5"/>
        <v>131.3578564940963</v>
      </c>
      <c r="H39" s="94">
        <f t="shared" si="6"/>
        <v>1.066183456391052</v>
      </c>
      <c r="J39" s="128"/>
    </row>
    <row r="40" spans="1:10" ht="15.75">
      <c r="A40" s="86" t="s">
        <v>30</v>
      </c>
      <c r="B40" s="92">
        <v>79059</v>
      </c>
      <c r="C40" s="14">
        <v>3473</v>
      </c>
      <c r="D40" s="93">
        <f t="shared" si="4"/>
        <v>43.92921741990159</v>
      </c>
      <c r="E40" s="94">
        <f t="shared" si="1"/>
        <v>0.8415321777690309</v>
      </c>
      <c r="F40" s="95">
        <v>10920</v>
      </c>
      <c r="G40" s="93">
        <f t="shared" si="5"/>
        <v>138.12469168595607</v>
      </c>
      <c r="H40" s="94">
        <f t="shared" si="6"/>
        <v>1.1211073713074766</v>
      </c>
      <c r="J40" s="128"/>
    </row>
    <row r="41" spans="1:10" ht="15.75">
      <c r="A41" s="86" t="s">
        <v>31</v>
      </c>
      <c r="B41" s="92">
        <v>23343</v>
      </c>
      <c r="C41" s="14">
        <v>1065</v>
      </c>
      <c r="D41" s="93">
        <f t="shared" si="4"/>
        <v>45.62395578974425</v>
      </c>
      <c r="E41" s="94">
        <f t="shared" si="1"/>
        <v>0.8739975153025951</v>
      </c>
      <c r="F41" s="95">
        <v>3050</v>
      </c>
      <c r="G41" s="93">
        <f t="shared" si="5"/>
        <v>130.66015507861027</v>
      </c>
      <c r="H41" s="94">
        <f t="shared" si="6"/>
        <v>1.0605204703577404</v>
      </c>
      <c r="J41" s="128"/>
    </row>
    <row r="42" spans="1:10" ht="15.75">
      <c r="A42" s="86" t="s">
        <v>32</v>
      </c>
      <c r="B42" s="92">
        <v>15890</v>
      </c>
      <c r="C42" s="14">
        <v>753</v>
      </c>
      <c r="D42" s="93">
        <f t="shared" si="4"/>
        <v>47.3882945248584</v>
      </c>
      <c r="E42" s="94">
        <f t="shared" si="1"/>
        <v>0.907796155599115</v>
      </c>
      <c r="F42" s="95">
        <v>1945</v>
      </c>
      <c r="G42" s="93">
        <f t="shared" si="5"/>
        <v>122.4040276903713</v>
      </c>
      <c r="H42" s="94">
        <f t="shared" si="6"/>
        <v>0.9935085178934194</v>
      </c>
      <c r="J42" s="128"/>
    </row>
    <row r="43" spans="1:10" ht="15.75">
      <c r="A43" s="86" t="s">
        <v>33</v>
      </c>
      <c r="B43" s="92">
        <v>13891</v>
      </c>
      <c r="C43" s="14">
        <v>616</v>
      </c>
      <c r="D43" s="93">
        <f t="shared" si="4"/>
        <v>44.34525952055288</v>
      </c>
      <c r="E43" s="94">
        <f t="shared" si="1"/>
        <v>0.8495021083885113</v>
      </c>
      <c r="F43" s="95">
        <v>1680</v>
      </c>
      <c r="G43" s="93">
        <f t="shared" si="5"/>
        <v>120.94161687423512</v>
      </c>
      <c r="H43" s="94">
        <f t="shared" si="6"/>
        <v>0.9816386666319398</v>
      </c>
      <c r="J43" s="128"/>
    </row>
    <row r="44" spans="1:10" ht="15.75">
      <c r="A44" s="86" t="s">
        <v>34</v>
      </c>
      <c r="B44" s="92">
        <v>14633</v>
      </c>
      <c r="C44" s="14">
        <v>626</v>
      </c>
      <c r="D44" s="93">
        <f t="shared" si="4"/>
        <v>42.78001776805849</v>
      </c>
      <c r="E44" s="94">
        <f t="shared" si="1"/>
        <v>0.8195174790671869</v>
      </c>
      <c r="F44" s="95">
        <v>1823</v>
      </c>
      <c r="G44" s="93">
        <f t="shared" si="5"/>
        <v>124.58142554500103</v>
      </c>
      <c r="H44" s="94">
        <f t="shared" si="6"/>
        <v>1.0111816562389124</v>
      </c>
      <c r="J44" s="128"/>
    </row>
    <row r="45" spans="1:10" ht="15.75">
      <c r="A45" s="86" t="s">
        <v>10</v>
      </c>
      <c r="B45" s="92">
        <v>18628</v>
      </c>
      <c r="C45" s="14">
        <v>854</v>
      </c>
      <c r="D45" s="93">
        <f t="shared" si="4"/>
        <v>45.844964569465326</v>
      </c>
      <c r="E45" s="94">
        <f t="shared" si="1"/>
        <v>0.8782312806785404</v>
      </c>
      <c r="F45" s="95">
        <v>2191</v>
      </c>
      <c r="G45" s="93">
        <f t="shared" si="5"/>
        <v>117.61863860854628</v>
      </c>
      <c r="H45" s="94">
        <f>G45/G$46</f>
        <v>0.9546672730100919</v>
      </c>
      <c r="J45" s="128"/>
    </row>
    <row r="46" spans="1:12" s="58" customFormat="1" ht="18.75" customHeight="1">
      <c r="A46" s="98" t="s">
        <v>35</v>
      </c>
      <c r="B46" s="99">
        <f>SUM(B8:B45)</f>
        <v>3154164</v>
      </c>
      <c r="C46" s="99">
        <f>SUM(C8:C45)</f>
        <v>164652</v>
      </c>
      <c r="D46" s="100">
        <f>C46/$B46*1000</f>
        <v>52.20147081762394</v>
      </c>
      <c r="E46" s="101">
        <f>SUM(E8:E45)</f>
        <v>34.70241357919076</v>
      </c>
      <c r="F46" s="99">
        <f>SUM(F8:F45)</f>
        <v>388605</v>
      </c>
      <c r="G46" s="100">
        <f>F46/$B46*1000</f>
        <v>123.20380297283211</v>
      </c>
      <c r="H46" s="101">
        <f>SUM(H8:H45)</f>
        <v>38.54917816496013</v>
      </c>
      <c r="J46" s="55"/>
      <c r="K46" s="55"/>
      <c r="L46" s="55"/>
    </row>
  </sheetData>
  <sheetProtection/>
  <mergeCells count="2">
    <mergeCell ref="A2:H2"/>
    <mergeCell ref="A3:H3"/>
  </mergeCells>
  <printOptions gridLines="1" horizontalCentered="1"/>
  <pageMargins left="0.5511811023622047" right="0.4724409448818898" top="0.2362204724409449" bottom="0.2362204724409449" header="0.1968503937007874" footer="0.1968503937007874"/>
  <pageSetup fitToHeight="1" fitToWidth="1" horizontalDpi="300" verticalDpi="3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tabColor theme="5" tint="-0.24997000396251678"/>
  </sheetPr>
  <dimension ref="A1:H79"/>
  <sheetViews>
    <sheetView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A2" sqref="A2:C2"/>
    </sheetView>
  </sheetViews>
  <sheetFormatPr defaultColWidth="9.00390625" defaultRowHeight="12.75"/>
  <cols>
    <col min="1" max="1" width="22.875" style="54" customWidth="1"/>
    <col min="2" max="2" width="14.25390625" style="54" customWidth="1"/>
    <col min="3" max="3" width="17.00390625" style="54" customWidth="1"/>
    <col min="4" max="4" width="11.25390625" style="54" customWidth="1"/>
    <col min="5" max="5" width="33.875" style="54" bestFit="1" customWidth="1"/>
    <col min="6" max="6" width="12.125" style="54" bestFit="1" customWidth="1"/>
    <col min="7" max="7" width="9.125" style="54" customWidth="1"/>
    <col min="8" max="8" width="16.75390625" style="54" bestFit="1" customWidth="1"/>
    <col min="9" max="16384" width="9.125" style="54" customWidth="1"/>
  </cols>
  <sheetData>
    <row r="1" spans="1:3" ht="15.75">
      <c r="A1" s="65"/>
      <c r="B1" s="65"/>
      <c r="C1" s="66" t="s">
        <v>119</v>
      </c>
    </row>
    <row r="2" spans="1:3" ht="23.25" customHeight="1">
      <c r="A2" s="251" t="s">
        <v>123</v>
      </c>
      <c r="B2" s="251"/>
      <c r="C2" s="251"/>
    </row>
    <row r="3" spans="1:3" ht="15.75">
      <c r="A3" s="181"/>
      <c r="B3" s="181"/>
      <c r="C3" s="181"/>
    </row>
    <row r="4" spans="1:3" s="56" customFormat="1" ht="83.25" customHeight="1">
      <c r="A4" s="60" t="s">
        <v>49</v>
      </c>
      <c r="B4" s="60" t="s">
        <v>149</v>
      </c>
      <c r="C4" s="60" t="s">
        <v>113</v>
      </c>
    </row>
    <row r="5" spans="1:3" s="56" customFormat="1" ht="15.75">
      <c r="A5" s="59" t="s">
        <v>38</v>
      </c>
      <c r="B5" s="59" t="s">
        <v>39</v>
      </c>
      <c r="C5" s="59" t="s">
        <v>40</v>
      </c>
    </row>
    <row r="6" spans="1:7" ht="15.75">
      <c r="A6" s="15" t="s">
        <v>117</v>
      </c>
      <c r="B6" s="90"/>
      <c r="C6" s="90"/>
      <c r="E6" s="56"/>
      <c r="F6" s="56"/>
      <c r="G6" s="56"/>
    </row>
    <row r="7" spans="1:8" ht="15.75">
      <c r="A7" s="90" t="s">
        <v>0</v>
      </c>
      <c r="B7" s="102">
        <f>'Дотации 2023'!C9</f>
        <v>1136721</v>
      </c>
      <c r="C7" s="103">
        <f>1.1-(((B7-$B$25)/($B$7-$B$25))*0.2)</f>
        <v>0.9000000000000001</v>
      </c>
      <c r="E7" s="118"/>
      <c r="F7" s="56"/>
      <c r="G7" s="56"/>
      <c r="H7" s="119"/>
    </row>
    <row r="8" spans="1:8" ht="15.75">
      <c r="A8" s="90" t="s">
        <v>1</v>
      </c>
      <c r="B8" s="102">
        <f>'Дотации 2023'!C10</f>
        <v>685619</v>
      </c>
      <c r="C8" s="103">
        <f aca="true" t="shared" si="0" ref="C8:C16">1.1-(((B8-$B$25)/($B$7-$B$25))*0.2)</f>
        <v>0.9800180931263859</v>
      </c>
      <c r="E8" s="118"/>
      <c r="F8" s="56"/>
      <c r="G8" s="56"/>
      <c r="H8" s="119"/>
    </row>
    <row r="9" spans="1:8" ht="15.75">
      <c r="A9" s="90" t="s">
        <v>2</v>
      </c>
      <c r="B9" s="102">
        <f>'Дотации 2023'!C11</f>
        <v>163571</v>
      </c>
      <c r="C9" s="103">
        <f t="shared" si="0"/>
        <v>1.0726208425720622</v>
      </c>
      <c r="E9" s="118"/>
      <c r="F9" s="56"/>
      <c r="G9" s="56"/>
      <c r="H9" s="119"/>
    </row>
    <row r="10" spans="1:8" ht="15.75">
      <c r="A10" s="90" t="s">
        <v>11</v>
      </c>
      <c r="B10" s="102">
        <f>'Дотации 2023'!C12</f>
        <v>100414</v>
      </c>
      <c r="C10" s="103">
        <f t="shared" si="0"/>
        <v>1.0838238580931265</v>
      </c>
      <c r="E10" s="118"/>
      <c r="F10" s="56"/>
      <c r="G10" s="56"/>
      <c r="H10" s="119"/>
    </row>
    <row r="11" spans="1:8" ht="15.75">
      <c r="A11" s="90" t="s">
        <v>3</v>
      </c>
      <c r="B11" s="102">
        <f>'Дотации 2023'!C13</f>
        <v>70096</v>
      </c>
      <c r="C11" s="103">
        <f t="shared" si="0"/>
        <v>1.0892017738359203</v>
      </c>
      <c r="E11" s="118"/>
      <c r="F11" s="56"/>
      <c r="G11" s="56"/>
      <c r="H11" s="119"/>
    </row>
    <row r="12" spans="1:8" ht="15.75">
      <c r="A12" s="90" t="s">
        <v>4</v>
      </c>
      <c r="B12" s="102">
        <f>'Дотации 2023'!C14</f>
        <v>46919</v>
      </c>
      <c r="C12" s="103">
        <f t="shared" si="0"/>
        <v>1.0933129933481154</v>
      </c>
      <c r="E12" s="118"/>
      <c r="F12" s="56"/>
      <c r="G12" s="56"/>
      <c r="H12" s="119"/>
    </row>
    <row r="13" spans="1:8" ht="15.75">
      <c r="A13" s="90" t="s">
        <v>12</v>
      </c>
      <c r="B13" s="102">
        <f>'Дотации 2023'!C15</f>
        <v>53795</v>
      </c>
      <c r="C13" s="103">
        <f>1.1-(((B13-$B$25)/($B$7-$B$25))*0.2)</f>
        <v>1.0920933037694014</v>
      </c>
      <c r="E13" s="118"/>
      <c r="F13" s="56"/>
      <c r="G13" s="56"/>
      <c r="H13" s="119"/>
    </row>
    <row r="14" spans="1:8" ht="15.75">
      <c r="A14" s="90" t="s">
        <v>5</v>
      </c>
      <c r="B14" s="102">
        <f>'Дотации 2023'!C16</f>
        <v>25221</v>
      </c>
      <c r="C14" s="103">
        <f t="shared" si="0"/>
        <v>1.0971618625277162</v>
      </c>
      <c r="E14" s="118"/>
      <c r="F14" s="103"/>
      <c r="G14" s="56"/>
      <c r="H14" s="121"/>
    </row>
    <row r="15" spans="1:8" ht="15.75">
      <c r="A15" s="90" t="s">
        <v>6</v>
      </c>
      <c r="B15" s="102">
        <f>'Дотации 2023'!C17</f>
        <v>57998</v>
      </c>
      <c r="C15" s="103">
        <f t="shared" si="0"/>
        <v>1.0913477605321509</v>
      </c>
      <c r="E15" s="118"/>
      <c r="F15" s="56"/>
      <c r="G15" s="56"/>
      <c r="H15" s="119"/>
    </row>
    <row r="16" spans="1:8" ht="15.75">
      <c r="A16" s="90" t="s">
        <v>13</v>
      </c>
      <c r="B16" s="102">
        <f>'Дотации 2023'!C18</f>
        <v>28231</v>
      </c>
      <c r="C16" s="103">
        <f t="shared" si="0"/>
        <v>1.0966279379157429</v>
      </c>
      <c r="E16" s="118"/>
      <c r="F16" s="56"/>
      <c r="G16" s="56"/>
      <c r="H16" s="119"/>
    </row>
    <row r="17" spans="1:8" ht="15.75">
      <c r="A17" s="90" t="s">
        <v>101</v>
      </c>
      <c r="B17" s="14"/>
      <c r="C17" s="103"/>
      <c r="E17" s="56"/>
      <c r="F17" s="56"/>
      <c r="G17" s="56"/>
      <c r="H17" s="119"/>
    </row>
    <row r="18" spans="1:8" ht="15.75">
      <c r="A18" s="90" t="s">
        <v>14</v>
      </c>
      <c r="B18" s="102">
        <f>'Дотации 2023'!C20</f>
        <v>11198</v>
      </c>
      <c r="C18" s="103">
        <f>1.1-(((B18-$B$25)/($B$7-$B$25))*0.2)</f>
        <v>1.0996493126385811</v>
      </c>
      <c r="E18" s="56"/>
      <c r="F18" s="56"/>
      <c r="G18" s="56"/>
      <c r="H18" s="119"/>
    </row>
    <row r="19" spans="1:8" ht="15.75">
      <c r="A19" s="90" t="s">
        <v>15</v>
      </c>
      <c r="B19" s="102">
        <f>'Дотации 2023'!C21</f>
        <v>37466</v>
      </c>
      <c r="C19" s="103">
        <f aca="true" t="shared" si="1" ref="C19:C43">1.1-(((B19-$B$25)/($B$7-$B$25))*0.2)</f>
        <v>1.094989800443459</v>
      </c>
      <c r="E19" s="56"/>
      <c r="F19" s="56"/>
      <c r="G19" s="56"/>
      <c r="H19" s="119"/>
    </row>
    <row r="20" spans="1:8" ht="15.75">
      <c r="A20" s="90" t="s">
        <v>16</v>
      </c>
      <c r="B20" s="102">
        <f>'Дотации 2023'!C22</f>
        <v>14037</v>
      </c>
      <c r="C20" s="103">
        <f t="shared" si="1"/>
        <v>1.0991457206208426</v>
      </c>
      <c r="E20" s="56"/>
      <c r="F20" s="56"/>
      <c r="G20" s="56"/>
      <c r="H20" s="119"/>
    </row>
    <row r="21" spans="1:8" ht="15.75">
      <c r="A21" s="90" t="s">
        <v>36</v>
      </c>
      <c r="B21" s="102">
        <f>'Дотации 2023'!C23</f>
        <v>17668</v>
      </c>
      <c r="C21" s="103">
        <f t="shared" si="1"/>
        <v>1.0985016407982262</v>
      </c>
      <c r="E21" s="56"/>
      <c r="F21" s="56"/>
      <c r="G21" s="56"/>
      <c r="H21" s="119"/>
    </row>
    <row r="22" spans="1:8" ht="15.75">
      <c r="A22" s="90" t="s">
        <v>37</v>
      </c>
      <c r="B22" s="102">
        <f>'Дотации 2023'!C24</f>
        <v>16587</v>
      </c>
      <c r="C22" s="103">
        <f t="shared" si="1"/>
        <v>1.0986933924611975</v>
      </c>
      <c r="E22" s="56"/>
      <c r="F22" s="56"/>
      <c r="G22" s="56"/>
      <c r="H22" s="119"/>
    </row>
    <row r="23" spans="1:8" ht="15.75">
      <c r="A23" s="90" t="s">
        <v>7</v>
      </c>
      <c r="B23" s="102">
        <f>'Дотации 2023'!C25</f>
        <v>22430</v>
      </c>
      <c r="C23" s="103">
        <f>1.1-(((B23-$B$25)/($B$7-$B$25))*0.2)</f>
        <v>1.0976569401330378</v>
      </c>
      <c r="E23" s="56"/>
      <c r="F23" s="56"/>
      <c r="G23" s="56"/>
      <c r="H23" s="119"/>
    </row>
    <row r="24" spans="1:8" ht="15.75">
      <c r="A24" s="90" t="s">
        <v>8</v>
      </c>
      <c r="B24" s="102">
        <f>'Дотации 2023'!C26</f>
        <v>128374</v>
      </c>
      <c r="C24" s="103">
        <f t="shared" si="1"/>
        <v>1.0788642128603105</v>
      </c>
      <c r="E24" s="56"/>
      <c r="F24" s="56"/>
      <c r="G24" s="56"/>
      <c r="H24" s="119"/>
    </row>
    <row r="25" spans="1:8" ht="15.75">
      <c r="A25" s="90" t="s">
        <v>9</v>
      </c>
      <c r="B25" s="102">
        <f>'Дотации 2023'!C27</f>
        <v>9221</v>
      </c>
      <c r="C25" s="103">
        <f>1.1-(((B25-$B$25)/($B$7-$B$25))*0.2)</f>
        <v>1.1</v>
      </c>
      <c r="E25" s="56"/>
      <c r="F25" s="56"/>
      <c r="G25" s="56"/>
      <c r="H25" s="119"/>
    </row>
    <row r="26" spans="1:8" ht="15.75">
      <c r="A26" s="90" t="s">
        <v>17</v>
      </c>
      <c r="B26" s="102">
        <f>'Дотации 2023'!C28</f>
        <v>11530</v>
      </c>
      <c r="C26" s="103">
        <f t="shared" si="1"/>
        <v>1.0995904212860312</v>
      </c>
      <c r="E26" s="56"/>
      <c r="F26" s="56"/>
      <c r="G26" s="56"/>
      <c r="H26" s="119"/>
    </row>
    <row r="27" spans="1:8" ht="15.75">
      <c r="A27" s="90" t="s">
        <v>18</v>
      </c>
      <c r="B27" s="102">
        <f>'Дотации 2023'!C29</f>
        <v>30548</v>
      </c>
      <c r="C27" s="103">
        <f t="shared" si="1"/>
        <v>1.0962169401330377</v>
      </c>
      <c r="E27" s="56"/>
      <c r="F27" s="56"/>
      <c r="G27" s="56"/>
      <c r="H27" s="119"/>
    </row>
    <row r="28" spans="1:8" ht="15.75">
      <c r="A28" s="90" t="s">
        <v>19</v>
      </c>
      <c r="B28" s="102">
        <f>'Дотации 2023'!C30</f>
        <v>41281</v>
      </c>
      <c r="C28" s="103">
        <f t="shared" si="1"/>
        <v>1.0943130820399114</v>
      </c>
      <c r="E28" s="56"/>
      <c r="F28" s="56"/>
      <c r="G28" s="56"/>
      <c r="H28" s="119"/>
    </row>
    <row r="29" spans="1:8" ht="15.75">
      <c r="A29" s="90" t="s">
        <v>20</v>
      </c>
      <c r="B29" s="102">
        <f>'Дотации 2023'!C31</f>
        <v>13216</v>
      </c>
      <c r="C29" s="103">
        <f t="shared" si="1"/>
        <v>1.0992913525498893</v>
      </c>
      <c r="E29" s="56"/>
      <c r="F29" s="56"/>
      <c r="G29" s="56"/>
      <c r="H29" s="119"/>
    </row>
    <row r="30" spans="1:8" ht="15.75">
      <c r="A30" s="90" t="s">
        <v>21</v>
      </c>
      <c r="B30" s="102">
        <f>'Дотации 2023'!C32</f>
        <v>20817</v>
      </c>
      <c r="C30" s="103">
        <f t="shared" si="1"/>
        <v>1.0979430598669624</v>
      </c>
      <c r="E30" s="56"/>
      <c r="F30" s="56"/>
      <c r="G30" s="56"/>
      <c r="H30" s="119"/>
    </row>
    <row r="31" spans="1:8" ht="15.75">
      <c r="A31" s="90" t="s">
        <v>22</v>
      </c>
      <c r="B31" s="102">
        <f>'Дотации 2023'!C33</f>
        <v>15815</v>
      </c>
      <c r="C31" s="103">
        <f t="shared" si="1"/>
        <v>1.098830332594235</v>
      </c>
      <c r="E31" s="56"/>
      <c r="F31" s="56"/>
      <c r="G31" s="56"/>
      <c r="H31" s="119"/>
    </row>
    <row r="32" spans="1:8" ht="15.75">
      <c r="A32" s="90" t="s">
        <v>23</v>
      </c>
      <c r="B32" s="102">
        <f>'Дотации 2023'!C34</f>
        <v>56997</v>
      </c>
      <c r="C32" s="103">
        <f t="shared" si="1"/>
        <v>1.0915253215077607</v>
      </c>
      <c r="E32" s="56"/>
      <c r="F32" s="56"/>
      <c r="G32" s="56"/>
      <c r="H32" s="119"/>
    </row>
    <row r="33" spans="1:8" ht="15.75">
      <c r="A33" s="104" t="s">
        <v>24</v>
      </c>
      <c r="B33" s="102">
        <f>'Дотации 2023'!C35</f>
        <v>9912</v>
      </c>
      <c r="C33" s="103">
        <f t="shared" si="1"/>
        <v>1.0998774279379158</v>
      </c>
      <c r="E33" s="56"/>
      <c r="F33" s="56"/>
      <c r="G33" s="56"/>
      <c r="H33" s="119"/>
    </row>
    <row r="34" spans="1:8" ht="15.75">
      <c r="A34" s="90" t="s">
        <v>25</v>
      </c>
      <c r="B34" s="102">
        <f>'Дотации 2023'!C36</f>
        <v>32597</v>
      </c>
      <c r="C34" s="103">
        <f t="shared" si="1"/>
        <v>1.0958534811529934</v>
      </c>
      <c r="E34" s="56"/>
      <c r="F34" s="56"/>
      <c r="G34" s="56"/>
      <c r="H34" s="119"/>
    </row>
    <row r="35" spans="1:8" ht="15.75">
      <c r="A35" s="90" t="s">
        <v>26</v>
      </c>
      <c r="B35" s="102">
        <f>'Дотации 2023'!C37</f>
        <v>15576</v>
      </c>
      <c r="C35" s="103">
        <f t="shared" si="1"/>
        <v>1.0988727272727274</v>
      </c>
      <c r="E35" s="56"/>
      <c r="F35" s="56"/>
      <c r="G35" s="56"/>
      <c r="H35" s="119"/>
    </row>
    <row r="36" spans="1:8" ht="15.75">
      <c r="A36" s="90" t="s">
        <v>27</v>
      </c>
      <c r="B36" s="102">
        <f>'Дотации 2023'!C38</f>
        <v>25463</v>
      </c>
      <c r="C36" s="103">
        <f t="shared" si="1"/>
        <v>1.0971189356984479</v>
      </c>
      <c r="E36" s="56"/>
      <c r="F36" s="56"/>
      <c r="G36" s="56"/>
      <c r="H36" s="119"/>
    </row>
    <row r="37" spans="1:8" ht="15.75">
      <c r="A37" s="90" t="s">
        <v>28</v>
      </c>
      <c r="B37" s="102">
        <f>'Дотации 2023'!C39</f>
        <v>22150</v>
      </c>
      <c r="C37" s="103">
        <f t="shared" si="1"/>
        <v>1.0977066075388027</v>
      </c>
      <c r="E37" s="56"/>
      <c r="F37" s="56"/>
      <c r="G37" s="56"/>
      <c r="H37" s="119"/>
    </row>
    <row r="38" spans="1:8" ht="15.75">
      <c r="A38" s="90" t="s">
        <v>29</v>
      </c>
      <c r="B38" s="102">
        <f>'Дотации 2023'!C40</f>
        <v>43383</v>
      </c>
      <c r="C38" s="103">
        <f t="shared" si="1"/>
        <v>1.09394022172949</v>
      </c>
      <c r="E38" s="56"/>
      <c r="F38" s="56"/>
      <c r="G38" s="56"/>
      <c r="H38" s="119"/>
    </row>
    <row r="39" spans="1:8" ht="15.75">
      <c r="A39" s="90" t="s">
        <v>30</v>
      </c>
      <c r="B39" s="102">
        <f>'Дотации 2023'!C41</f>
        <v>81908</v>
      </c>
      <c r="C39" s="103">
        <f t="shared" si="1"/>
        <v>1.0871065188470068</v>
      </c>
      <c r="E39" s="56"/>
      <c r="F39" s="56"/>
      <c r="G39" s="56"/>
      <c r="H39" s="119"/>
    </row>
    <row r="40" spans="1:8" ht="15.75">
      <c r="A40" s="90" t="s">
        <v>31</v>
      </c>
      <c r="B40" s="102">
        <f>'Дотации 2023'!C42</f>
        <v>22936</v>
      </c>
      <c r="C40" s="103">
        <f t="shared" si="1"/>
        <v>1.0975671840354768</v>
      </c>
      <c r="E40" s="56"/>
      <c r="F40" s="56"/>
      <c r="G40" s="56"/>
      <c r="H40" s="119"/>
    </row>
    <row r="41" spans="1:8" ht="15.75">
      <c r="A41" s="90" t="s">
        <v>32</v>
      </c>
      <c r="B41" s="102">
        <f>'Дотации 2023'!C43</f>
        <v>15727</v>
      </c>
      <c r="C41" s="103">
        <f t="shared" si="1"/>
        <v>1.0988459423503327</v>
      </c>
      <c r="E41" s="56"/>
      <c r="F41" s="56"/>
      <c r="G41" s="56"/>
      <c r="H41" s="119"/>
    </row>
    <row r="42" spans="1:8" ht="15.75">
      <c r="A42" s="90" t="s">
        <v>33</v>
      </c>
      <c r="B42" s="102">
        <f>'Дотации 2023'!C44</f>
        <v>13617</v>
      </c>
      <c r="C42" s="103">
        <f t="shared" si="1"/>
        <v>1.0992202217294902</v>
      </c>
      <c r="E42" s="56"/>
      <c r="F42" s="56"/>
      <c r="G42" s="56"/>
      <c r="H42" s="119"/>
    </row>
    <row r="43" spans="1:8" ht="15.75">
      <c r="A43" s="90" t="s">
        <v>34</v>
      </c>
      <c r="B43" s="102">
        <f>'Дотации 2023'!C45</f>
        <v>14393</v>
      </c>
      <c r="C43" s="103">
        <f t="shared" si="1"/>
        <v>1.0990825720620843</v>
      </c>
      <c r="E43" s="56"/>
      <c r="F43" s="56"/>
      <c r="G43" s="56"/>
      <c r="H43" s="119"/>
    </row>
    <row r="44" spans="1:8" ht="15.75">
      <c r="A44" s="90" t="s">
        <v>10</v>
      </c>
      <c r="B44" s="102">
        <f>'Дотации 2023'!C46</f>
        <v>18288</v>
      </c>
      <c r="C44" s="103">
        <f>1.1-(((B44-$B$25)/($B$7-$B$25))*0.2)</f>
        <v>1.0983916629711752</v>
      </c>
      <c r="E44" s="56"/>
      <c r="F44" s="56"/>
      <c r="G44" s="56"/>
      <c r="H44" s="119"/>
    </row>
    <row r="45" spans="1:7" s="61" customFormat="1" ht="15.75">
      <c r="A45" s="64" t="s">
        <v>35</v>
      </c>
      <c r="B45" s="63">
        <f>SUM(B7:B44)</f>
        <v>3131720</v>
      </c>
      <c r="C45" s="62"/>
      <c r="E45" s="56"/>
      <c r="F45" s="56"/>
      <c r="G45" s="56"/>
    </row>
    <row r="46" spans="5:7" ht="15.75">
      <c r="E46" s="56"/>
      <c r="F46" s="56"/>
      <c r="G46" s="56"/>
    </row>
    <row r="47" spans="5:7" ht="15.75">
      <c r="E47" s="56"/>
      <c r="F47" s="56"/>
      <c r="G47" s="56"/>
    </row>
    <row r="48" spans="5:7" ht="15.75">
      <c r="E48" s="56"/>
      <c r="F48" s="56"/>
      <c r="G48" s="56"/>
    </row>
    <row r="49" spans="5:7" ht="15.75">
      <c r="E49" s="56"/>
      <c r="F49" s="56"/>
      <c r="G49" s="56"/>
    </row>
    <row r="50" spans="5:7" ht="15.75">
      <c r="E50" s="56"/>
      <c r="F50" s="56"/>
      <c r="G50" s="56"/>
    </row>
    <row r="51" spans="5:7" ht="15.75">
      <c r="E51" s="56"/>
      <c r="F51" s="56"/>
      <c r="G51" s="56"/>
    </row>
    <row r="52" spans="5:7" ht="15.75">
      <c r="E52" s="56"/>
      <c r="F52" s="56"/>
      <c r="G52" s="56"/>
    </row>
    <row r="53" spans="5:7" ht="15.75">
      <c r="E53" s="56"/>
      <c r="F53" s="56"/>
      <c r="G53" s="56"/>
    </row>
    <row r="54" spans="5:7" ht="15.75">
      <c r="E54" s="56"/>
      <c r="F54" s="56"/>
      <c r="G54" s="56"/>
    </row>
    <row r="55" spans="5:7" ht="15.75">
      <c r="E55" s="56"/>
      <c r="F55" s="56"/>
      <c r="G55" s="56"/>
    </row>
    <row r="56" spans="5:7" ht="15.75">
      <c r="E56" s="56"/>
      <c r="F56" s="56"/>
      <c r="G56" s="56"/>
    </row>
    <row r="57" spans="5:7" ht="15.75">
      <c r="E57" s="56"/>
      <c r="F57" s="56"/>
      <c r="G57" s="56"/>
    </row>
    <row r="58" spans="5:7" ht="15.75">
      <c r="E58" s="56"/>
      <c r="F58" s="56"/>
      <c r="G58" s="56"/>
    </row>
    <row r="59" spans="5:7" ht="15.75">
      <c r="E59" s="56"/>
      <c r="F59" s="56"/>
      <c r="G59" s="56"/>
    </row>
    <row r="60" spans="5:7" ht="15.75">
      <c r="E60" s="56"/>
      <c r="F60" s="56"/>
      <c r="G60" s="56"/>
    </row>
    <row r="61" spans="5:7" ht="15.75">
      <c r="E61" s="56"/>
      <c r="F61" s="56"/>
      <c r="G61" s="56"/>
    </row>
    <row r="62" spans="5:7" ht="15.75">
      <c r="E62" s="56"/>
      <c r="F62" s="56"/>
      <c r="G62" s="56"/>
    </row>
    <row r="63" spans="5:7" ht="15.75">
      <c r="E63" s="56"/>
      <c r="F63" s="56"/>
      <c r="G63" s="56"/>
    </row>
    <row r="64" spans="5:7" ht="15.75">
      <c r="E64" s="56"/>
      <c r="F64" s="56"/>
      <c r="G64" s="56"/>
    </row>
    <row r="65" spans="5:7" ht="15.75">
      <c r="E65" s="56"/>
      <c r="F65" s="56"/>
      <c r="G65" s="56"/>
    </row>
    <row r="66" spans="5:7" ht="15.75">
      <c r="E66" s="56"/>
      <c r="F66" s="56"/>
      <c r="G66" s="56"/>
    </row>
    <row r="67" spans="5:7" ht="15.75">
      <c r="E67" s="56"/>
      <c r="F67" s="56"/>
      <c r="G67" s="56"/>
    </row>
    <row r="68" spans="5:7" ht="15.75">
      <c r="E68" s="56"/>
      <c r="F68" s="56"/>
      <c r="G68" s="56"/>
    </row>
    <row r="69" spans="5:7" ht="15.75">
      <c r="E69" s="56"/>
      <c r="F69" s="56"/>
      <c r="G69" s="56"/>
    </row>
    <row r="70" spans="5:7" ht="15.75">
      <c r="E70" s="56"/>
      <c r="F70" s="56"/>
      <c r="G70" s="56"/>
    </row>
    <row r="71" spans="5:7" ht="15.75">
      <c r="E71" s="56"/>
      <c r="F71" s="56"/>
      <c r="G71" s="56"/>
    </row>
    <row r="72" spans="5:7" ht="15.75">
      <c r="E72" s="56"/>
      <c r="F72" s="56"/>
      <c r="G72" s="56"/>
    </row>
    <row r="73" spans="5:7" ht="15.75">
      <c r="E73" s="56"/>
      <c r="F73" s="56"/>
      <c r="G73" s="56"/>
    </row>
    <row r="74" spans="5:7" ht="15.75">
      <c r="E74" s="56"/>
      <c r="F74" s="56"/>
      <c r="G74" s="56"/>
    </row>
    <row r="75" spans="5:7" ht="15.75">
      <c r="E75" s="56"/>
      <c r="F75" s="56"/>
      <c r="G75" s="56"/>
    </row>
    <row r="76" spans="5:7" ht="15.75">
      <c r="E76" s="56"/>
      <c r="F76" s="56"/>
      <c r="G76" s="56"/>
    </row>
    <row r="77" spans="5:7" ht="15.75">
      <c r="E77" s="56"/>
      <c r="F77" s="56"/>
      <c r="G77" s="56"/>
    </row>
    <row r="78" spans="5:7" ht="15.75">
      <c r="E78" s="56"/>
      <c r="F78" s="56"/>
      <c r="G78" s="56"/>
    </row>
    <row r="79" spans="5:7" ht="15.75">
      <c r="E79" s="56"/>
      <c r="F79" s="56"/>
      <c r="G79" s="56"/>
    </row>
  </sheetData>
  <sheetProtection/>
  <mergeCells count="1">
    <mergeCell ref="A2:C2"/>
  </mergeCells>
  <printOptions gridLines="1" horizontalCentered="1"/>
  <pageMargins left="0.3937007874015748" right="0.3937007874015748" top="0.31496062992125984" bottom="0.5511811023622047" header="0.1968503937007874" footer="0.2362204724409449"/>
  <pageSetup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Закон о бюджете на 1997 год</dc:title>
  <dc:subject/>
  <dc:creator>Tenjaew Dmitrj Alexandrowitch</dc:creator>
  <cp:keywords/>
  <dc:description/>
  <cp:lastModifiedBy>kuznetsova</cp:lastModifiedBy>
  <cp:lastPrinted>2022-10-21T05:14:16Z</cp:lastPrinted>
  <dcterms:created xsi:type="dcterms:W3CDTF">1998-09-07T09:31:30Z</dcterms:created>
  <dcterms:modified xsi:type="dcterms:W3CDTF">2022-10-21T05:14:19Z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Path">
    <vt:lpwstr>N:\КОЗЛОВА\Дотации\Расчёт дотаций 2010.xls</vt:lpwstr>
  </property>
</Properties>
</file>