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6" windowWidth="22212" windowHeight="11760" tabRatio="783" firstSheet="1" activeTab="1"/>
  </bookViews>
  <sheets>
    <sheet name="2014 г." sheetId="4" state="hidden" r:id="rId1"/>
    <sheet name="Таб. 4 Расчет объема реализацию" sheetId="5" r:id="rId2"/>
  </sheets>
  <externalReferences>
    <externalReference r:id="rId3"/>
    <externalReference r:id="rId4"/>
    <externalReference r:id="rId5"/>
  </externalReferences>
  <definedNames>
    <definedName name="_xlnm._FilterDatabase" localSheetId="0" hidden="1">'2014 г.'!$A$8:$R$8</definedName>
    <definedName name="dd">#REF!+#REF!+#REF!+#REF!+#REF!</definedName>
    <definedName name="F">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+[1]ШКОЛЫ!#REF!</definedName>
    <definedName name="q">#REF!+#REF!+#REF!+#REF!+#REF!</definedName>
    <definedName name="год">#REF!+#REF!+#REF!+#REF!</definedName>
    <definedName name="_xlnm.Print_Titles" localSheetId="0">'2014 г.'!$3:$7</definedName>
    <definedName name="ИТОГО">#REF!+#REF!+#REF!</definedName>
    <definedName name="Канц">#REF!+#REF!+#REF!+#REF!+#REF!</definedName>
    <definedName name="квартал">SUM(#REF!)</definedName>
    <definedName name="мц">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</definedName>
    <definedName name="ннн">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+[3]ШКОЛЫ!#REF!</definedName>
    <definedName name="_xlnm.Print_Area" localSheetId="0">'2014 г.'!$A$1:$O$126</definedName>
    <definedName name="_xlnm.Print_Area" localSheetId="1">'Таб. 4 Расчет объема реализацию'!$A$1:$E$8</definedName>
    <definedName name="оооо">#REF!+#REF!+#REF!+#REF!+#REF!</definedName>
    <definedName name="отклонения">#REF!-#REF!</definedName>
    <definedName name="пит">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+[2]ШКОЛЫ!#REF!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calcId="125725"/>
</workbook>
</file>

<file path=xl/calcChain.xml><?xml version="1.0" encoding="utf-8"?>
<calcChain xmlns="http://schemas.openxmlformats.org/spreadsheetml/2006/main">
  <c r="E7" i="5"/>
  <c r="E6"/>
  <c r="C8"/>
  <c r="E8" l="1"/>
  <c r="H120" i="4"/>
  <c r="H110"/>
  <c r="H100"/>
  <c r="H90"/>
  <c r="H80"/>
  <c r="H70"/>
  <c r="H60"/>
  <c r="H52"/>
  <c r="H42"/>
  <c r="H32"/>
  <c r="H22"/>
  <c r="H12"/>
  <c r="P60" l="1"/>
  <c r="M80"/>
  <c r="N80"/>
  <c r="N90"/>
  <c r="N129" s="1"/>
  <c r="D80"/>
  <c r="D130"/>
  <c r="D90"/>
  <c r="K134"/>
  <c r="D89" l="1"/>
  <c r="N130"/>
  <c r="E131"/>
  <c r="F131"/>
  <c r="G131"/>
  <c r="K131"/>
  <c r="L131"/>
  <c r="N131"/>
  <c r="O131"/>
  <c r="I90"/>
  <c r="E129"/>
  <c r="K129"/>
  <c r="L129"/>
  <c r="M129"/>
  <c r="K133" s="1"/>
  <c r="K135" s="1"/>
  <c r="O129"/>
  <c r="P91"/>
  <c r="M96"/>
  <c r="K90"/>
  <c r="K86"/>
  <c r="K80"/>
  <c r="P81"/>
  <c r="N79"/>
  <c r="K106"/>
  <c r="J106" s="1"/>
  <c r="Q100"/>
  <c r="J126"/>
  <c r="I126" s="1"/>
  <c r="J124"/>
  <c r="J123"/>
  <c r="J122"/>
  <c r="J121"/>
  <c r="K120"/>
  <c r="J120" s="1"/>
  <c r="J119" s="1"/>
  <c r="P119" s="1"/>
  <c r="I120"/>
  <c r="O119"/>
  <c r="N119"/>
  <c r="M119"/>
  <c r="L119"/>
  <c r="D119"/>
  <c r="C119"/>
  <c r="J116"/>
  <c r="I116" s="1"/>
  <c r="J114"/>
  <c r="J113"/>
  <c r="J112"/>
  <c r="J111"/>
  <c r="K110"/>
  <c r="K109" s="1"/>
  <c r="K107" s="1"/>
  <c r="I110"/>
  <c r="O109"/>
  <c r="N109"/>
  <c r="M109"/>
  <c r="L109"/>
  <c r="D109"/>
  <c r="C109"/>
  <c r="J105"/>
  <c r="J104"/>
  <c r="J103"/>
  <c r="J102"/>
  <c r="J101"/>
  <c r="N60"/>
  <c r="I100"/>
  <c r="O99"/>
  <c r="M99"/>
  <c r="L99"/>
  <c r="D99"/>
  <c r="C99"/>
  <c r="K98"/>
  <c r="K96"/>
  <c r="J96"/>
  <c r="P96" s="1"/>
  <c r="J94"/>
  <c r="J93"/>
  <c r="J92"/>
  <c r="J91"/>
  <c r="J90"/>
  <c r="P90" s="1"/>
  <c r="O89"/>
  <c r="N89"/>
  <c r="M89"/>
  <c r="L89"/>
  <c r="C89"/>
  <c r="K88"/>
  <c r="J86"/>
  <c r="J84"/>
  <c r="J83"/>
  <c r="J82"/>
  <c r="J81"/>
  <c r="I80"/>
  <c r="O79"/>
  <c r="M79"/>
  <c r="L79"/>
  <c r="D79"/>
  <c r="C79"/>
  <c r="K78"/>
  <c r="K76"/>
  <c r="J76" s="1"/>
  <c r="I76" s="1"/>
  <c r="G76" s="1"/>
  <c r="J75"/>
  <c r="J65" s="1"/>
  <c r="J74"/>
  <c r="J73"/>
  <c r="J72"/>
  <c r="J71"/>
  <c r="K70"/>
  <c r="J70" s="1"/>
  <c r="I70"/>
  <c r="O69"/>
  <c r="N69"/>
  <c r="M69"/>
  <c r="L69"/>
  <c r="D69"/>
  <c r="C69"/>
  <c r="K68"/>
  <c r="O66"/>
  <c r="N66"/>
  <c r="M66"/>
  <c r="L66"/>
  <c r="D66"/>
  <c r="D59" s="1"/>
  <c r="C66"/>
  <c r="O65"/>
  <c r="N65"/>
  <c r="M65"/>
  <c r="L65"/>
  <c r="K65"/>
  <c r="I65"/>
  <c r="O64"/>
  <c r="N64"/>
  <c r="M64"/>
  <c r="L64"/>
  <c r="K64"/>
  <c r="I64"/>
  <c r="D64"/>
  <c r="C64"/>
  <c r="O63"/>
  <c r="N63"/>
  <c r="M63"/>
  <c r="L63"/>
  <c r="K63"/>
  <c r="I63"/>
  <c r="D63"/>
  <c r="C63"/>
  <c r="O62"/>
  <c r="N62"/>
  <c r="M62"/>
  <c r="L62"/>
  <c r="K62"/>
  <c r="I62"/>
  <c r="D62"/>
  <c r="C62"/>
  <c r="O61"/>
  <c r="N61"/>
  <c r="M61"/>
  <c r="L61"/>
  <c r="K61"/>
  <c r="I61"/>
  <c r="D61"/>
  <c r="C61"/>
  <c r="O60"/>
  <c r="M60"/>
  <c r="L60"/>
  <c r="C60"/>
  <c r="K58"/>
  <c r="J58" s="1"/>
  <c r="P58" s="1"/>
  <c r="J57"/>
  <c r="J56"/>
  <c r="J55"/>
  <c r="J54"/>
  <c r="J53"/>
  <c r="K52"/>
  <c r="J52" s="1"/>
  <c r="P52" s="1"/>
  <c r="O51"/>
  <c r="N51"/>
  <c r="M51"/>
  <c r="L51"/>
  <c r="D51"/>
  <c r="C51"/>
  <c r="K50"/>
  <c r="M48"/>
  <c r="M41" s="1"/>
  <c r="K48"/>
  <c r="K41" s="1"/>
  <c r="J47"/>
  <c r="J46"/>
  <c r="J45"/>
  <c r="J44"/>
  <c r="J43"/>
  <c r="J42"/>
  <c r="Q42" s="1"/>
  <c r="Q41" s="1"/>
  <c r="O41"/>
  <c r="N41"/>
  <c r="L41"/>
  <c r="D41"/>
  <c r="C41"/>
  <c r="K40"/>
  <c r="N38"/>
  <c r="N31" s="1"/>
  <c r="M38"/>
  <c r="J37"/>
  <c r="J36"/>
  <c r="J35"/>
  <c r="J34"/>
  <c r="J33"/>
  <c r="M32"/>
  <c r="J32" s="1"/>
  <c r="F32"/>
  <c r="F42" s="1"/>
  <c r="O31"/>
  <c r="L31"/>
  <c r="K31"/>
  <c r="E31"/>
  <c r="D31"/>
  <c r="C31"/>
  <c r="K30"/>
  <c r="K29"/>
  <c r="K28"/>
  <c r="J28" s="1"/>
  <c r="J27"/>
  <c r="K26"/>
  <c r="J26" s="1"/>
  <c r="J25"/>
  <c r="J24"/>
  <c r="J23"/>
  <c r="J22"/>
  <c r="D22"/>
  <c r="I22" s="1"/>
  <c r="O21"/>
  <c r="N21"/>
  <c r="M21"/>
  <c r="L21"/>
  <c r="K21"/>
  <c r="C21"/>
  <c r="Q20"/>
  <c r="O18"/>
  <c r="L18"/>
  <c r="D18"/>
  <c r="C18"/>
  <c r="O17"/>
  <c r="N17"/>
  <c r="M17"/>
  <c r="L17"/>
  <c r="K17"/>
  <c r="I17"/>
  <c r="D17"/>
  <c r="C17"/>
  <c r="O16"/>
  <c r="N16"/>
  <c r="M16"/>
  <c r="L16"/>
  <c r="I16"/>
  <c r="D16"/>
  <c r="C16"/>
  <c r="O15"/>
  <c r="N15"/>
  <c r="M15"/>
  <c r="L15"/>
  <c r="K15"/>
  <c r="I15"/>
  <c r="D15"/>
  <c r="C15"/>
  <c r="O14"/>
  <c r="N14"/>
  <c r="M14"/>
  <c r="L14"/>
  <c r="K14"/>
  <c r="I14"/>
  <c r="D14"/>
  <c r="C14"/>
  <c r="O12"/>
  <c r="N12"/>
  <c r="L12"/>
  <c r="D12"/>
  <c r="D10" s="1"/>
  <c r="C12"/>
  <c r="C10" s="1"/>
  <c r="M131" l="1"/>
  <c r="D129"/>
  <c r="D131" s="1"/>
  <c r="L59"/>
  <c r="J64"/>
  <c r="K79"/>
  <c r="K77" s="1"/>
  <c r="J77" s="1"/>
  <c r="J61"/>
  <c r="I96"/>
  <c r="M59"/>
  <c r="K89"/>
  <c r="K87" s="1"/>
  <c r="O59"/>
  <c r="O10"/>
  <c r="J16"/>
  <c r="J110"/>
  <c r="P110" s="1"/>
  <c r="P106"/>
  <c r="I106"/>
  <c r="G106" s="1"/>
  <c r="K66"/>
  <c r="K99"/>
  <c r="K97" s="1"/>
  <c r="P28"/>
  <c r="I28"/>
  <c r="I21" s="1"/>
  <c r="J21"/>
  <c r="F52"/>
  <c r="I52" s="1"/>
  <c r="I42"/>
  <c r="K12"/>
  <c r="K16"/>
  <c r="P42"/>
  <c r="K51"/>
  <c r="K49" s="1"/>
  <c r="M12"/>
  <c r="K20"/>
  <c r="K19" s="1"/>
  <c r="R21"/>
  <c r="R19" s="1"/>
  <c r="J66"/>
  <c r="P66" s="1"/>
  <c r="N59"/>
  <c r="N99"/>
  <c r="J17"/>
  <c r="J63"/>
  <c r="I60"/>
  <c r="L10"/>
  <c r="D21"/>
  <c r="J15"/>
  <c r="I32"/>
  <c r="J14"/>
  <c r="I58"/>
  <c r="C59"/>
  <c r="K60"/>
  <c r="J100"/>
  <c r="K119"/>
  <c r="K117" s="1"/>
  <c r="G126"/>
  <c r="I119"/>
  <c r="P32"/>
  <c r="P76"/>
  <c r="I86"/>
  <c r="I66" s="1"/>
  <c r="P86"/>
  <c r="N19"/>
  <c r="J12"/>
  <c r="J51"/>
  <c r="P51" s="1"/>
  <c r="K69"/>
  <c r="K67" s="1"/>
  <c r="N18"/>
  <c r="N10" s="1"/>
  <c r="P22"/>
  <c r="Q32"/>
  <c r="Q31" s="1"/>
  <c r="K39"/>
  <c r="J62"/>
  <c r="J80"/>
  <c r="Q80"/>
  <c r="Q81" s="1"/>
  <c r="R82" s="1"/>
  <c r="R81" s="1"/>
  <c r="G96"/>
  <c r="I89"/>
  <c r="G116"/>
  <c r="I109"/>
  <c r="P120"/>
  <c r="I12"/>
  <c r="P70"/>
  <c r="I69"/>
  <c r="J38"/>
  <c r="J31" s="1"/>
  <c r="M31"/>
  <c r="J48"/>
  <c r="K18"/>
  <c r="J69"/>
  <c r="P69" s="1"/>
  <c r="M18"/>
  <c r="J89"/>
  <c r="P89" s="1"/>
  <c r="I99"/>
  <c r="P80" l="1"/>
  <c r="P129" s="1"/>
  <c r="J129"/>
  <c r="J131" s="1"/>
  <c r="J109"/>
  <c r="P109" s="1"/>
  <c r="J60"/>
  <c r="Q59" s="1"/>
  <c r="K10"/>
  <c r="M10"/>
  <c r="P21"/>
  <c r="K59"/>
  <c r="I59"/>
  <c r="I51"/>
  <c r="P100"/>
  <c r="J99"/>
  <c r="P99" s="1"/>
  <c r="P48"/>
  <c r="I48"/>
  <c r="J41"/>
  <c r="P41" s="1"/>
  <c r="J18"/>
  <c r="P18" s="1"/>
  <c r="P31"/>
  <c r="J29"/>
  <c r="P12"/>
  <c r="J79"/>
  <c r="P79" s="1"/>
  <c r="P38"/>
  <c r="I38"/>
  <c r="I31" s="1"/>
  <c r="Q21"/>
  <c r="Q19" s="1"/>
  <c r="G86"/>
  <c r="I79"/>
  <c r="J59" l="1"/>
  <c r="P59" s="1"/>
  <c r="I18"/>
  <c r="I10" s="1"/>
  <c r="I41"/>
  <c r="J10"/>
  <c r="R10" l="1"/>
  <c r="P10"/>
</calcChain>
</file>

<file path=xl/sharedStrings.xml><?xml version="1.0" encoding="utf-8"?>
<sst xmlns="http://schemas.openxmlformats.org/spreadsheetml/2006/main" count="141" uniqueCount="66">
  <si>
    <t>Категории работников</t>
  </si>
  <si>
    <t>Планируемая штатная численность, ед.</t>
  </si>
  <si>
    <t>Планируемая среднесписочная численность с учетом внешних совместителей пропорционально отработанному времени за год, чел., ед.</t>
  </si>
  <si>
    <t>Средняя заработная плата необходимая для выполнения Указов Президента РФ, рублей</t>
  </si>
  <si>
    <t>Отношение к средней заработной плате по региону, %</t>
  </si>
  <si>
    <r>
      <t xml:space="preserve">ФОТ необходимый на среднесписочную численность,
</t>
    </r>
    <r>
      <rPr>
        <sz val="9"/>
        <color theme="1"/>
        <rFont val="Times New Roman"/>
        <family val="1"/>
        <charset val="204"/>
      </rPr>
      <t>тыс. руб.</t>
    </r>
  </si>
  <si>
    <t>ФОТ предусмотренный за счет всех источников, тыс. руб.
(из расчета средней заработной платы 28 740 рублей)</t>
  </si>
  <si>
    <t>Всего</t>
  </si>
  <si>
    <t>Областной бюджет</t>
  </si>
  <si>
    <t>Местные бюджеты</t>
  </si>
  <si>
    <t>Доходы от предпринимательской деятельности</t>
  </si>
  <si>
    <t>Оптимизация расходов (справочно)</t>
  </si>
  <si>
    <t>7=8+10+11</t>
  </si>
  <si>
    <t>1.</t>
  </si>
  <si>
    <t>Учреждения общего образования всего</t>
  </si>
  <si>
    <t xml:space="preserve">в т.ч. </t>
  </si>
  <si>
    <t xml:space="preserve">педагогические работники </t>
  </si>
  <si>
    <t xml:space="preserve">     из них </t>
  </si>
  <si>
    <t xml:space="preserve">     методлитература</t>
  </si>
  <si>
    <t xml:space="preserve">     выплаты молодым педагогам</t>
  </si>
  <si>
    <t xml:space="preserve">     классное руководство</t>
  </si>
  <si>
    <t xml:space="preserve">     профильное обучение</t>
  </si>
  <si>
    <t>прочий персонал</t>
  </si>
  <si>
    <t>1.1.</t>
  </si>
  <si>
    <t>государственные учреждения, всего</t>
  </si>
  <si>
    <t>1.2.</t>
  </si>
  <si>
    <t>муниципальные учреждения г.о.Самара</t>
  </si>
  <si>
    <t>1.3.</t>
  </si>
  <si>
    <t>муниципальные учреждения г.о.Тольятти</t>
  </si>
  <si>
    <t>1.4.</t>
  </si>
  <si>
    <t>ВПО Наяновой в части реализации программ общего образования</t>
  </si>
  <si>
    <t>педагогические работники ВПО (ак.Наяновой) по программам общего образования</t>
  </si>
  <si>
    <t>2.</t>
  </si>
  <si>
    <t>Дошкольные образовательные учреждения, всего</t>
  </si>
  <si>
    <t>2.1</t>
  </si>
  <si>
    <t>2.2</t>
  </si>
  <si>
    <t>2.3</t>
  </si>
  <si>
    <t>2.4</t>
  </si>
  <si>
    <t>структурные подразделения ДОУ государственных учреждений, всего</t>
  </si>
  <si>
    <t>2.5</t>
  </si>
  <si>
    <t>структурные подразделения ДОУ при муниципальных школах г.о.Самара</t>
  </si>
  <si>
    <t>2.6</t>
  </si>
  <si>
    <t>структурные подразделения ДОУ при муниципальных школах г.о.Тольятти</t>
  </si>
  <si>
    <r>
      <t xml:space="preserve">Информация о  расходах на фонд оплаты труда  работников бюджетной сферы Самарской области, </t>
    </r>
    <r>
      <rPr>
        <b/>
        <sz val="10"/>
        <color theme="1"/>
        <rFont val="Times New Roman"/>
        <family val="1"/>
        <charset val="204"/>
      </rPr>
      <t xml:space="preserve">финансируемых за счет средств областного бюджета, </t>
    </r>
    <r>
      <rPr>
        <sz val="10"/>
        <color theme="1"/>
        <rFont val="Times New Roman"/>
        <family val="1"/>
        <charset val="204"/>
      </rPr>
      <t>в том числе фонд оплаты труда 
в целях исполнения Указов Президента Российской Федерации от 07.05.2012  № 597 , от 01.06.2012 № 761 , от 28.12.2012 № 1688, 
в 2014 году</t>
    </r>
  </si>
  <si>
    <t>2014 год</t>
  </si>
  <si>
    <t>в том числе за счет средств муниципального бюджета</t>
  </si>
  <si>
    <r>
      <t xml:space="preserve">в том числе за счет </t>
    </r>
    <r>
      <rPr>
        <b/>
        <sz val="9"/>
        <color theme="1"/>
        <rFont val="Times New Roman"/>
        <family val="1"/>
        <charset val="204"/>
      </rPr>
      <t>резерва</t>
    </r>
  </si>
  <si>
    <t>Зарплата без внешних совместителей</t>
  </si>
  <si>
    <t>без внешних совместителей</t>
  </si>
  <si>
    <t>педагогические работники ( с учетом подвоза)</t>
  </si>
  <si>
    <t xml:space="preserve">     единовременная выплата 12 тыс рублей</t>
  </si>
  <si>
    <t>3 тыс. рублей</t>
  </si>
  <si>
    <t xml:space="preserve">    ежемесяная начиная с августа выплата 3 тыс рублей</t>
  </si>
  <si>
    <t xml:space="preserve">    ежемесяная начиная выплата 12 тыс рублей</t>
  </si>
  <si>
    <t>всего бюджет</t>
  </si>
  <si>
    <t>Средняя заработная плата сложившаяся в 2014 году, рублей</t>
  </si>
  <si>
    <t xml:space="preserve">ИТОГО </t>
  </si>
  <si>
    <t>№ п/п</t>
  </si>
  <si>
    <t>Наименование муниципального образования, образовательной организации</t>
  </si>
  <si>
    <t>Сумма ежемесячной денежной выплаты, рублей</t>
  </si>
  <si>
    <t>5=(3)*(4)*12мес.*130,2%/1000руб.</t>
  </si>
  <si>
    <t>Занятые ставки по состоянию на 01.01.2017, ед.</t>
  </si>
  <si>
    <t>Объем  бюджетных средств на осуществление ежемесячной денежной выплаты в 2017 году,
тыс. руб.</t>
  </si>
  <si>
    <t>г.о.Кинель (АНО ДО "Город Детства")</t>
  </si>
  <si>
    <t>г.о.Тольятти (АНО ДО "Планета детства "ЛАДА")</t>
  </si>
  <si>
    <t>Расчет объема бюджетных средств на осуществление ежемесячной денежной выплаты в размере 3700 рублей в 2017 году педагогическим работникам частных дошкольных образовательных организаций, в которых одним из соучредителей являются муниципальные органы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</si>
</sst>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_р_._-;_-@_-"/>
    <numFmt numFmtId="167" formatCode="_-* #,##0.0_р_._-;\-* #,##0.0_р_._-;_-* &quot;-&quot;??_р_._-;_-@_-"/>
    <numFmt numFmtId="168" formatCode="0.0"/>
    <numFmt numFmtId="169" formatCode="_-* #,##0\ _р_._-;\-* #,##0\ _р_._-;_-* &quot;-&quot;\ _р_._-;_-@_-"/>
    <numFmt numFmtId="170" formatCode="_-* #,##0.00\ _р_._-;\-* #,##0.00\ _р_._-;_-* &quot;-&quot;??\ _р_._-;_-@_-"/>
  </numFmts>
  <fonts count="3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FF"/>
      <name val="Times New Roman"/>
      <family val="1"/>
      <charset val="204"/>
    </font>
    <font>
      <i/>
      <sz val="10"/>
      <color rgb="FF0000FF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CC00CC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23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name val="Arial Cyr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41">
    <xf numFmtId="0" fontId="0" fillId="0" borderId="0"/>
    <xf numFmtId="165" fontId="6" fillId="0" borderId="0" applyFont="0" applyFill="0" applyBorder="0" applyAlignment="0" applyProtection="0"/>
    <xf numFmtId="0" fontId="5" fillId="0" borderId="0"/>
    <xf numFmtId="0" fontId="14" fillId="0" borderId="0"/>
    <xf numFmtId="165" fontId="5" fillId="0" borderId="0" applyFont="0" applyFill="0" applyBorder="0" applyAlignment="0" applyProtection="0"/>
    <xf numFmtId="0" fontId="5" fillId="0" borderId="0"/>
    <xf numFmtId="0" fontId="22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9" fillId="0" borderId="9" applyNumberFormat="0">
      <alignment horizontal="right" vertical="top"/>
    </xf>
    <xf numFmtId="0" fontId="29" fillId="0" borderId="9" applyNumberFormat="0">
      <alignment horizontal="right" vertical="top"/>
    </xf>
    <xf numFmtId="0" fontId="29" fillId="8" borderId="9" applyNumberFormat="0">
      <alignment horizontal="right" vertical="top"/>
    </xf>
    <xf numFmtId="164" fontId="29" fillId="0" borderId="0" applyFont="0" applyFill="0" applyBorder="0" applyAlignment="0" applyProtection="0"/>
    <xf numFmtId="49" fontId="29" fillId="9" borderId="9">
      <alignment horizontal="left" vertical="top"/>
    </xf>
    <xf numFmtId="49" fontId="30" fillId="0" borderId="9">
      <alignment horizontal="left" vertical="top"/>
    </xf>
    <xf numFmtId="0" fontId="29" fillId="10" borderId="9">
      <alignment horizontal="left" vertical="top" wrapText="1"/>
    </xf>
    <xf numFmtId="0" fontId="30" fillId="0" borderId="9">
      <alignment horizontal="left" vertical="top" wrapText="1"/>
    </xf>
    <xf numFmtId="0" fontId="29" fillId="11" borderId="9">
      <alignment horizontal="left" vertical="top" wrapText="1"/>
    </xf>
    <xf numFmtId="0" fontId="29" fillId="12" borderId="9">
      <alignment horizontal="left" vertical="top" wrapText="1"/>
    </xf>
    <xf numFmtId="0" fontId="29" fillId="13" borderId="9">
      <alignment horizontal="left" vertical="top" wrapText="1"/>
    </xf>
    <xf numFmtId="0" fontId="29" fillId="14" borderId="9">
      <alignment horizontal="left" vertical="top" wrapText="1"/>
    </xf>
    <xf numFmtId="0" fontId="29" fillId="0" borderId="9">
      <alignment horizontal="left" vertical="top" wrapText="1"/>
    </xf>
    <xf numFmtId="0" fontId="31" fillId="0" borderId="0">
      <alignment horizontal="left" vertical="top"/>
    </xf>
    <xf numFmtId="0" fontId="29" fillId="10" borderId="10" applyNumberFormat="0">
      <alignment horizontal="right" vertical="top"/>
    </xf>
    <xf numFmtId="0" fontId="29" fillId="11" borderId="10" applyNumberFormat="0">
      <alignment horizontal="right" vertical="top"/>
    </xf>
    <xf numFmtId="0" fontId="29" fillId="0" borderId="9" applyNumberFormat="0">
      <alignment horizontal="right" vertical="top"/>
    </xf>
    <xf numFmtId="0" fontId="29" fillId="0" borderId="9" applyNumberFormat="0">
      <alignment horizontal="right" vertical="top"/>
    </xf>
    <xf numFmtId="0" fontId="29" fillId="12" borderId="10" applyNumberFormat="0">
      <alignment horizontal="right" vertical="top"/>
    </xf>
    <xf numFmtId="0" fontId="29" fillId="0" borderId="9" applyNumberFormat="0">
      <alignment horizontal="right" vertical="top"/>
    </xf>
    <xf numFmtId="49" fontId="32" fillId="15" borderId="9">
      <alignment horizontal="left" vertical="top" wrapText="1"/>
    </xf>
    <xf numFmtId="49" fontId="33" fillId="0" borderId="9">
      <alignment horizontal="left" vertical="top" wrapText="1"/>
    </xf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9" fillId="14" borderId="9">
      <alignment horizontal="left" vertical="top" wrapText="1"/>
    </xf>
    <xf numFmtId="0" fontId="29" fillId="0" borderId="9">
      <alignment horizontal="left" vertical="top" wrapText="1"/>
    </xf>
    <xf numFmtId="0" fontId="35" fillId="0" borderId="0"/>
    <xf numFmtId="165" fontId="35" fillId="0" borderId="0" applyFont="0" applyFill="0" applyBorder="0" applyAlignment="0" applyProtection="0"/>
  </cellStyleXfs>
  <cellXfs count="112">
    <xf numFmtId="0" fontId="0" fillId="0" borderId="0" xfId="0"/>
    <xf numFmtId="49" fontId="7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/>
    <xf numFmtId="49" fontId="9" fillId="2" borderId="0" xfId="0" applyNumberFormat="1" applyFont="1" applyFill="1" applyAlignment="1">
      <alignment horizontal="right"/>
    </xf>
    <xf numFmtId="0" fontId="10" fillId="2" borderId="8" xfId="0" applyFont="1" applyFill="1" applyBorder="1" applyAlignment="1">
      <alignment horizontal="center" vertical="center" wrapText="1"/>
    </xf>
    <xf numFmtId="49" fontId="7" fillId="2" borderId="6" xfId="3" applyNumberFormat="1" applyFont="1" applyFill="1" applyBorder="1" applyAlignment="1">
      <alignment horizontal="right" vertical="center" wrapText="1"/>
    </xf>
    <xf numFmtId="0" fontId="8" fillId="2" borderId="6" xfId="3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0" xfId="0" applyFont="1" applyFill="1"/>
    <xf numFmtId="49" fontId="7" fillId="3" borderId="6" xfId="3" applyNumberFormat="1" applyFont="1" applyFill="1" applyBorder="1" applyAlignment="1">
      <alignment horizontal="right" vertical="center" wrapText="1"/>
    </xf>
    <xf numFmtId="0" fontId="7" fillId="3" borderId="6" xfId="3" applyFont="1" applyFill="1" applyBorder="1" applyAlignment="1">
      <alignment horizontal="left" vertical="center" wrapText="1"/>
    </xf>
    <xf numFmtId="167" fontId="7" fillId="3" borderId="6" xfId="1" applyNumberFormat="1" applyFont="1" applyFill="1" applyBorder="1" applyAlignment="1">
      <alignment vertical="center" wrapText="1"/>
    </xf>
    <xf numFmtId="0" fontId="21" fillId="3" borderId="0" xfId="0" applyFont="1" applyFill="1"/>
    <xf numFmtId="167" fontId="8" fillId="3" borderId="6" xfId="1" applyNumberFormat="1" applyFont="1" applyFill="1" applyBorder="1" applyAlignment="1">
      <alignment horizontal="center" vertical="center" wrapText="1"/>
    </xf>
    <xf numFmtId="167" fontId="8" fillId="3" borderId="6" xfId="1" applyNumberFormat="1" applyFont="1" applyFill="1" applyBorder="1" applyAlignment="1">
      <alignment horizontal="left" vertical="center" wrapText="1"/>
    </xf>
    <xf numFmtId="167" fontId="0" fillId="2" borderId="0" xfId="1" applyNumberFormat="1" applyFont="1" applyFill="1" applyAlignment="1">
      <alignment horizontal="center" vertical="center"/>
    </xf>
    <xf numFmtId="167" fontId="0" fillId="3" borderId="0" xfId="1" applyNumberFormat="1" applyFont="1" applyFill="1" applyAlignment="1">
      <alignment horizontal="center" vertical="center"/>
    </xf>
    <xf numFmtId="167" fontId="8" fillId="2" borderId="6" xfId="1" applyNumberFormat="1" applyFont="1" applyFill="1" applyBorder="1" applyAlignment="1">
      <alignment horizontal="center" vertical="center" wrapText="1"/>
    </xf>
    <xf numFmtId="167" fontId="23" fillId="0" borderId="6" xfId="1" applyNumberFormat="1" applyFont="1" applyFill="1" applyBorder="1" applyAlignment="1">
      <alignment horizontal="center" vertical="center" wrapText="1"/>
    </xf>
    <xf numFmtId="167" fontId="23" fillId="0" borderId="6" xfId="1" applyNumberFormat="1" applyFont="1" applyFill="1" applyBorder="1" applyAlignment="1">
      <alignment horizontal="left" vertical="center" wrapText="1"/>
    </xf>
    <xf numFmtId="167" fontId="24" fillId="0" borderId="0" xfId="1" applyNumberFormat="1" applyFont="1" applyFill="1" applyAlignment="1">
      <alignment horizontal="center" vertical="center"/>
    </xf>
    <xf numFmtId="167" fontId="8" fillId="2" borderId="6" xfId="1" applyNumberFormat="1" applyFont="1" applyFill="1" applyBorder="1" applyAlignment="1">
      <alignment horizontal="left" vertical="center" wrapText="1"/>
    </xf>
    <xf numFmtId="167" fontId="8" fillId="0" borderId="6" xfId="1" applyNumberFormat="1" applyFont="1" applyFill="1" applyBorder="1" applyAlignment="1">
      <alignment horizontal="center" vertical="center" wrapText="1"/>
    </xf>
    <xf numFmtId="167" fontId="23" fillId="2" borderId="6" xfId="1" applyNumberFormat="1" applyFont="1" applyFill="1" applyBorder="1" applyAlignment="1">
      <alignment horizontal="center" vertical="center" wrapText="1"/>
    </xf>
    <xf numFmtId="167" fontId="23" fillId="2" borderId="6" xfId="1" applyNumberFormat="1" applyFont="1" applyFill="1" applyBorder="1" applyAlignment="1">
      <alignment horizontal="left" vertical="center" wrapText="1"/>
    </xf>
    <xf numFmtId="167" fontId="24" fillId="2" borderId="0" xfId="1" applyNumberFormat="1" applyFont="1" applyFill="1" applyAlignment="1">
      <alignment horizontal="center" vertical="center"/>
    </xf>
    <xf numFmtId="167" fontId="7" fillId="6" borderId="6" xfId="1" applyNumberFormat="1" applyFont="1" applyFill="1" applyBorder="1" applyAlignment="1">
      <alignment horizontal="center" vertical="center" wrapText="1"/>
    </xf>
    <xf numFmtId="167" fontId="7" fillId="6" borderId="6" xfId="1" applyNumberFormat="1" applyFont="1" applyFill="1" applyBorder="1" applyAlignment="1">
      <alignment horizontal="left" vertical="center" wrapText="1"/>
    </xf>
    <xf numFmtId="167" fontId="21" fillId="6" borderId="0" xfId="1" applyNumberFormat="1" applyFont="1" applyFill="1" applyAlignment="1">
      <alignment horizontal="center" vertical="center"/>
    </xf>
    <xf numFmtId="167" fontId="8" fillId="6" borderId="6" xfId="1" applyNumberFormat="1" applyFont="1" applyFill="1" applyBorder="1" applyAlignment="1">
      <alignment horizontal="center" vertical="center" wrapText="1"/>
    </xf>
    <xf numFmtId="167" fontId="8" fillId="6" borderId="6" xfId="1" applyNumberFormat="1" applyFont="1" applyFill="1" applyBorder="1" applyAlignment="1">
      <alignment horizontal="left" vertical="center" wrapText="1"/>
    </xf>
    <xf numFmtId="167" fontId="0" fillId="6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8" fillId="2" borderId="6" xfId="1" applyNumberFormat="1" applyFont="1" applyFill="1" applyBorder="1" applyAlignment="1">
      <alignment horizontal="center" vertical="center"/>
    </xf>
    <xf numFmtId="167" fontId="8" fillId="2" borderId="3" xfId="1" applyNumberFormat="1" applyFont="1" applyFill="1" applyBorder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166" fontId="17" fillId="2" borderId="6" xfId="0" applyNumberFormat="1" applyFont="1" applyFill="1" applyBorder="1" applyAlignment="1">
      <alignment horizontal="center" vertical="center" wrapText="1"/>
    </xf>
    <xf numFmtId="168" fontId="20" fillId="3" borderId="0" xfId="0" applyNumberFormat="1" applyFont="1" applyFill="1"/>
    <xf numFmtId="0" fontId="7" fillId="3" borderId="6" xfId="0" applyFont="1" applyFill="1" applyBorder="1" applyAlignment="1">
      <alignment horizontal="center" vertical="center" wrapText="1"/>
    </xf>
    <xf numFmtId="0" fontId="20" fillId="3" borderId="0" xfId="0" applyFont="1" applyFill="1"/>
    <xf numFmtId="167" fontId="23" fillId="0" borderId="6" xfId="10" applyNumberFormat="1" applyFont="1" applyFill="1" applyBorder="1" applyAlignment="1">
      <alignment horizontal="center" vertical="center" wrapText="1"/>
    </xf>
    <xf numFmtId="167" fontId="7" fillId="2" borderId="6" xfId="1" applyNumberFormat="1" applyFont="1" applyFill="1" applyBorder="1" applyAlignment="1">
      <alignment horizontal="center" vertical="center" wrapText="1"/>
    </xf>
    <xf numFmtId="167" fontId="7" fillId="2" borderId="6" xfId="10" applyNumberFormat="1" applyFont="1" applyFill="1" applyBorder="1" applyAlignment="1">
      <alignment horizontal="left" vertical="center" wrapText="1"/>
    </xf>
    <xf numFmtId="167" fontId="7" fillId="2" borderId="6" xfId="10" applyNumberFormat="1" applyFont="1" applyFill="1" applyBorder="1" applyAlignment="1">
      <alignment horizontal="center" vertical="center" wrapText="1"/>
    </xf>
    <xf numFmtId="167" fontId="21" fillId="2" borderId="0" xfId="1" applyNumberFormat="1" applyFont="1" applyFill="1" applyAlignment="1">
      <alignment horizontal="center" vertical="center"/>
    </xf>
    <xf numFmtId="167" fontId="8" fillId="2" borderId="6" xfId="10" applyNumberFormat="1" applyFont="1" applyFill="1" applyBorder="1" applyAlignment="1">
      <alignment horizontal="left" vertical="center" wrapText="1"/>
    </xf>
    <xf numFmtId="167" fontId="8" fillId="2" borderId="6" xfId="10" applyNumberFormat="1" applyFont="1" applyFill="1" applyBorder="1" applyAlignment="1">
      <alignment horizontal="center" vertical="center" wrapText="1"/>
    </xf>
    <xf numFmtId="167" fontId="7" fillId="2" borderId="6" xfId="1" applyNumberFormat="1" applyFont="1" applyFill="1" applyBorder="1" applyAlignment="1">
      <alignment horizontal="left" vertical="center" wrapText="1"/>
    </xf>
    <xf numFmtId="167" fontId="25" fillId="2" borderId="0" xfId="1" applyNumberFormat="1" applyFont="1" applyFill="1" applyAlignment="1">
      <alignment horizontal="center" vertical="center"/>
    </xf>
    <xf numFmtId="167" fontId="26" fillId="2" borderId="6" xfId="1" applyNumberFormat="1" applyFont="1" applyFill="1" applyBorder="1" applyAlignment="1">
      <alignment horizontal="center" vertical="center" wrapText="1"/>
    </xf>
    <xf numFmtId="167" fontId="23" fillId="2" borderId="6" xfId="10" applyNumberFormat="1" applyFont="1" applyFill="1" applyBorder="1" applyAlignment="1">
      <alignment horizontal="center" vertical="center" wrapText="1"/>
    </xf>
    <xf numFmtId="167" fontId="8" fillId="6" borderId="0" xfId="1" applyNumberFormat="1" applyFont="1" applyFill="1" applyBorder="1" applyAlignment="1">
      <alignment horizontal="center" vertical="center" wrapText="1"/>
    </xf>
    <xf numFmtId="167" fontId="23" fillId="0" borderId="6" xfId="10" applyNumberFormat="1" applyFont="1" applyFill="1" applyBorder="1" applyAlignment="1">
      <alignment horizontal="left" vertical="center" wrapText="1"/>
    </xf>
    <xf numFmtId="167" fontId="8" fillId="5" borderId="6" xfId="10" applyNumberFormat="1" applyFont="1" applyFill="1" applyBorder="1" applyAlignment="1">
      <alignment horizontal="center" vertical="center" wrapText="1"/>
    </xf>
    <xf numFmtId="167" fontId="8" fillId="2" borderId="3" xfId="10" applyNumberFormat="1" applyFont="1" applyFill="1" applyBorder="1" applyAlignment="1">
      <alignment horizontal="center" vertical="center" wrapText="1"/>
    </xf>
    <xf numFmtId="167" fontId="8" fillId="2" borderId="6" xfId="10" applyNumberFormat="1" applyFont="1" applyFill="1" applyBorder="1" applyAlignment="1">
      <alignment horizontal="center" vertical="center"/>
    </xf>
    <xf numFmtId="167" fontId="8" fillId="5" borderId="6" xfId="1" applyNumberFormat="1" applyFont="1" applyFill="1" applyBorder="1" applyAlignment="1">
      <alignment horizontal="center" vertical="center" wrapText="1"/>
    </xf>
    <xf numFmtId="167" fontId="27" fillId="2" borderId="6" xfId="10" applyNumberFormat="1" applyFont="1" applyFill="1" applyBorder="1" applyAlignment="1">
      <alignment horizontal="center" vertical="center" wrapText="1"/>
    </xf>
    <xf numFmtId="167" fontId="8" fillId="7" borderId="6" xfId="10" applyNumberFormat="1" applyFont="1" applyFill="1" applyBorder="1" applyAlignment="1">
      <alignment horizontal="center" vertical="center" wrapText="1"/>
    </xf>
    <xf numFmtId="167" fontId="8" fillId="7" borderId="6" xfId="1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vertical="center" wrapText="1"/>
    </xf>
    <xf numFmtId="167" fontId="27" fillId="4" borderId="6" xfId="10" applyNumberFormat="1" applyFont="1" applyFill="1" applyBorder="1" applyAlignment="1">
      <alignment horizontal="center" vertical="center" wrapText="1"/>
    </xf>
    <xf numFmtId="167" fontId="28" fillId="4" borderId="6" xfId="1" applyNumberFormat="1" applyFont="1" applyFill="1" applyBorder="1" applyAlignment="1">
      <alignment horizontal="center" vertical="center" wrapText="1"/>
    </xf>
    <xf numFmtId="167" fontId="28" fillId="4" borderId="3" xfId="1" applyNumberFormat="1" applyFont="1" applyFill="1" applyBorder="1" applyAlignment="1">
      <alignment horizontal="center" vertical="center" wrapText="1"/>
    </xf>
    <xf numFmtId="167" fontId="11" fillId="2" borderId="0" xfId="0" applyNumberFormat="1" applyFont="1" applyFill="1" applyAlignment="1">
      <alignment vertical="center" wrapText="1"/>
    </xf>
    <xf numFmtId="0" fontId="3" fillId="0" borderId="0" xfId="11"/>
    <xf numFmtId="0" fontId="8" fillId="0" borderId="0" xfId="11" applyFont="1"/>
    <xf numFmtId="0" fontId="8" fillId="0" borderId="6" xfId="11" applyFont="1" applyBorder="1"/>
    <xf numFmtId="0" fontId="8" fillId="0" borderId="6" xfId="11" applyFont="1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8" fillId="0" borderId="6" xfId="11" applyFont="1" applyBorder="1" applyAlignment="1">
      <alignment horizontal="center"/>
    </xf>
    <xf numFmtId="0" fontId="8" fillId="2" borderId="6" xfId="11" applyFont="1" applyFill="1" applyBorder="1" applyAlignment="1">
      <alignment horizontal="center"/>
    </xf>
    <xf numFmtId="0" fontId="7" fillId="2" borderId="6" xfId="11" applyFont="1" applyFill="1" applyBorder="1"/>
    <xf numFmtId="0" fontId="3" fillId="0" borderId="0" xfId="11" applyFill="1"/>
    <xf numFmtId="0" fontId="8" fillId="0" borderId="0" xfId="11" applyFont="1" applyFill="1"/>
    <xf numFmtId="0" fontId="8" fillId="0" borderId="6" xfId="11" applyFont="1" applyBorder="1" applyAlignment="1">
      <alignment horizontal="left" vertical="center" wrapText="1"/>
    </xf>
    <xf numFmtId="3" fontId="8" fillId="2" borderId="6" xfId="12" applyNumberFormat="1" applyFont="1" applyFill="1" applyBorder="1" applyAlignment="1">
      <alignment horizontal="center" vertical="center"/>
    </xf>
    <xf numFmtId="3" fontId="8" fillId="0" borderId="6" xfId="12" applyNumberFormat="1" applyFont="1" applyBorder="1" applyAlignment="1">
      <alignment horizontal="center" vertical="center"/>
    </xf>
    <xf numFmtId="3" fontId="7" fillId="2" borderId="6" xfId="1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0" fontId="9" fillId="0" borderId="6" xfId="11" applyFont="1" applyBorder="1" applyAlignment="1">
      <alignment horizontal="center" vertical="center" wrapText="1"/>
    </xf>
    <xf numFmtId="3" fontId="8" fillId="0" borderId="6" xfId="11" applyNumberFormat="1" applyFont="1" applyFill="1" applyBorder="1" applyAlignment="1">
      <alignment horizontal="center" vertical="center"/>
    </xf>
    <xf numFmtId="3" fontId="7" fillId="0" borderId="6" xfId="1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12" fillId="2" borderId="1" xfId="9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right" vertical="center" wrapText="1"/>
    </xf>
    <xf numFmtId="49" fontId="7" fillId="2" borderId="7" xfId="3" applyNumberFormat="1" applyFont="1" applyFill="1" applyBorder="1" applyAlignment="1">
      <alignment horizontal="right" vertical="center" wrapText="1"/>
    </xf>
    <xf numFmtId="49" fontId="7" fillId="2" borderId="8" xfId="3" applyNumberFormat="1" applyFont="1" applyFill="1" applyBorder="1" applyAlignment="1">
      <alignment horizontal="right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11" applyFont="1" applyBorder="1" applyAlignment="1">
      <alignment horizontal="center" vertical="center" wrapText="1"/>
    </xf>
    <xf numFmtId="0" fontId="1" fillId="0" borderId="0" xfId="11" applyFont="1" applyAlignment="1">
      <alignment horizontal="left" wrapText="1"/>
    </xf>
    <xf numFmtId="0" fontId="2" fillId="0" borderId="0" xfId="11" applyFont="1" applyAlignment="1">
      <alignment horizontal="left" wrapText="1"/>
    </xf>
  </cellXfs>
  <cellStyles count="41">
    <cellStyle name="Данные (редактируемые)" xfId="13"/>
    <cellStyle name="Данные (только для чтения)" xfId="14"/>
    <cellStyle name="Данные для удаления" xfId="15"/>
    <cellStyle name="Денежный 2" xfId="16"/>
    <cellStyle name="Заголовки полей" xfId="17"/>
    <cellStyle name="Заголовки полей [печать]" xfId="18"/>
    <cellStyle name="Заголовок меры" xfId="19"/>
    <cellStyle name="Заголовок показателя [печать]" xfId="20"/>
    <cellStyle name="Заголовок показателя константы" xfId="21"/>
    <cellStyle name="Заголовок результата расчета" xfId="22"/>
    <cellStyle name="Заголовок свободного показателя" xfId="23"/>
    <cellStyle name="Значение фильтра" xfId="24"/>
    <cellStyle name="Значение фильтра [печать]" xfId="25"/>
    <cellStyle name="Информация о задаче" xfId="26"/>
    <cellStyle name="Обычный" xfId="0" builtinId="0"/>
    <cellStyle name="Обычный 2" xfId="5"/>
    <cellStyle name="Обычный 2 2" xfId="2"/>
    <cellStyle name="Обычный 2 2 2" xfId="9"/>
    <cellStyle name="Обычный 2 3" xfId="6"/>
    <cellStyle name="Обычный 3" xfId="3"/>
    <cellStyle name="Обычный 4" xfId="7"/>
    <cellStyle name="Обычный 5" xfId="11"/>
    <cellStyle name="Обычный 6" xfId="39"/>
    <cellStyle name="Отдельная ячейка" xfId="27"/>
    <cellStyle name="Отдельная ячейка - константа" xfId="28"/>
    <cellStyle name="Отдельная ячейка - константа [печать]" xfId="29"/>
    <cellStyle name="Отдельная ячейка [печать]" xfId="30"/>
    <cellStyle name="Отдельная ячейка-результат" xfId="31"/>
    <cellStyle name="Отдельная ячейка-результат [печать]" xfId="32"/>
    <cellStyle name="Процентный 2" xfId="8"/>
    <cellStyle name="Свойства элементов измерения" xfId="33"/>
    <cellStyle name="Свойства элементов измерения [печать]" xfId="34"/>
    <cellStyle name="Тысячи [0]_ауп" xfId="35"/>
    <cellStyle name="Тысячи_ауп" xfId="36"/>
    <cellStyle name="Финансовый" xfId="1" builtinId="3"/>
    <cellStyle name="Финансовый 2" xfId="4"/>
    <cellStyle name="Финансовый 2 2" xfId="10"/>
    <cellStyle name="Финансовый 2 2 2" xfId="40"/>
    <cellStyle name="Финансовый 3" xfId="12"/>
    <cellStyle name="Элементы осей" xfId="37"/>
    <cellStyle name="Элементы осей [печать]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5;&#1086;&#1095;&#1090;&#1072;\&#1055;&#1088;&#1086;&#1075;&#1088;&#1072;&#1084;&#1084;&#1072;\&#1092;&#1080;&#1085;&#1072;&#1085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35"/>
  <sheetViews>
    <sheetView view="pageBreakPreview" topLeftCell="B1" zoomScaleNormal="100" zoomScaleSheetLayoutView="100" workbookViewId="0">
      <pane xSplit="1" ySplit="7" topLeftCell="C100" activePane="bottomRight" state="frozen"/>
      <selection activeCell="B1" sqref="B1"/>
      <selection pane="topRight" activeCell="C1" sqref="C1"/>
      <selection pane="bottomLeft" activeCell="B8" sqref="B8"/>
      <selection pane="bottomRight" activeCell="H120" sqref="H120"/>
    </sheetView>
  </sheetViews>
  <sheetFormatPr defaultColWidth="8.88671875" defaultRowHeight="15.6"/>
  <cols>
    <col min="1" max="1" width="6.109375" style="1" customWidth="1"/>
    <col min="2" max="2" width="48.33203125" style="2" customWidth="1"/>
    <col min="3" max="4" width="13.33203125" style="3" customWidth="1"/>
    <col min="5" max="5" width="13.33203125" style="3" hidden="1" customWidth="1"/>
    <col min="6" max="6" width="15.109375" style="3" customWidth="1"/>
    <col min="7" max="8" width="12.6640625" style="3" customWidth="1"/>
    <col min="9" max="9" width="17.33203125" style="3" customWidth="1"/>
    <col min="10" max="10" width="16" style="4" customWidth="1"/>
    <col min="11" max="11" width="15.88671875" style="4" customWidth="1"/>
    <col min="12" max="13" width="14.33203125" style="4" customWidth="1"/>
    <col min="14" max="14" width="14.6640625" style="4" customWidth="1"/>
    <col min="15" max="15" width="13.88671875" style="3" customWidth="1"/>
    <col min="16" max="16" width="17.109375" style="5" customWidth="1"/>
    <col min="17" max="17" width="16.88671875" style="5" customWidth="1"/>
    <col min="18" max="18" width="16.44140625" style="5" customWidth="1"/>
    <col min="19" max="16384" width="8.88671875" style="5"/>
  </cols>
  <sheetData>
    <row r="1" spans="1:18">
      <c r="M1" s="92"/>
      <c r="N1" s="92"/>
      <c r="O1" s="92"/>
    </row>
    <row r="2" spans="1:18" ht="43.2" customHeight="1">
      <c r="A2" s="6"/>
      <c r="B2" s="93" t="s">
        <v>43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0"/>
    </row>
    <row r="3" spans="1:18" ht="13.2">
      <c r="A3" s="94"/>
      <c r="B3" s="97" t="s">
        <v>0</v>
      </c>
      <c r="C3" s="100" t="s">
        <v>44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8" ht="13.2" customHeight="1">
      <c r="A4" s="95"/>
      <c r="B4" s="98"/>
      <c r="C4" s="90" t="s">
        <v>1</v>
      </c>
      <c r="D4" s="90" t="s">
        <v>2</v>
      </c>
      <c r="E4" s="11"/>
      <c r="F4" s="90" t="s">
        <v>3</v>
      </c>
      <c r="G4" s="90" t="s">
        <v>4</v>
      </c>
      <c r="H4" s="90" t="s">
        <v>55</v>
      </c>
      <c r="I4" s="103" t="s">
        <v>5</v>
      </c>
      <c r="J4" s="104" t="s">
        <v>6</v>
      </c>
      <c r="K4" s="105"/>
      <c r="L4" s="105"/>
      <c r="M4" s="105"/>
      <c r="N4" s="105"/>
      <c r="O4" s="106"/>
    </row>
    <row r="5" spans="1:18" ht="13.2" customHeight="1">
      <c r="A5" s="95"/>
      <c r="B5" s="98"/>
      <c r="C5" s="90"/>
      <c r="D5" s="90"/>
      <c r="E5" s="107" t="s">
        <v>45</v>
      </c>
      <c r="F5" s="90"/>
      <c r="G5" s="90"/>
      <c r="H5" s="90"/>
      <c r="I5" s="90"/>
      <c r="J5" s="90" t="s">
        <v>7</v>
      </c>
      <c r="K5" s="88" t="s">
        <v>8</v>
      </c>
      <c r="L5" s="89"/>
      <c r="M5" s="90" t="s">
        <v>9</v>
      </c>
      <c r="N5" s="90" t="s">
        <v>10</v>
      </c>
      <c r="O5" s="91" t="s">
        <v>11</v>
      </c>
    </row>
    <row r="6" spans="1:18" ht="151.5" customHeight="1">
      <c r="A6" s="96"/>
      <c r="B6" s="99"/>
      <c r="C6" s="90"/>
      <c r="D6" s="90"/>
      <c r="E6" s="108"/>
      <c r="F6" s="90"/>
      <c r="G6" s="90"/>
      <c r="H6" s="90"/>
      <c r="I6" s="90"/>
      <c r="J6" s="90"/>
      <c r="K6" s="7" t="s">
        <v>7</v>
      </c>
      <c r="L6" s="7" t="s">
        <v>46</v>
      </c>
      <c r="M6" s="90"/>
      <c r="N6" s="90"/>
      <c r="O6" s="91"/>
    </row>
    <row r="7" spans="1:18" s="13" customFormat="1" ht="15.75" customHeight="1">
      <c r="A7" s="8"/>
      <c r="B7" s="9">
        <v>1</v>
      </c>
      <c r="C7" s="10">
        <v>2</v>
      </c>
      <c r="D7" s="10">
        <v>3</v>
      </c>
      <c r="E7" s="10"/>
      <c r="F7" s="10">
        <v>4</v>
      </c>
      <c r="G7" s="10">
        <v>5</v>
      </c>
      <c r="H7" s="10"/>
      <c r="I7" s="10">
        <v>6</v>
      </c>
      <c r="J7" s="10" t="s">
        <v>12</v>
      </c>
      <c r="K7" s="10">
        <v>8</v>
      </c>
      <c r="L7" s="10">
        <v>9</v>
      </c>
      <c r="M7" s="10">
        <v>10</v>
      </c>
      <c r="N7" s="10">
        <v>11</v>
      </c>
      <c r="O7" s="12">
        <v>12</v>
      </c>
    </row>
    <row r="8" spans="1:18" s="13" customFormat="1" ht="15.75" customHeight="1">
      <c r="A8" s="8"/>
      <c r="B8" s="9"/>
      <c r="C8" s="10"/>
      <c r="D8" s="10"/>
      <c r="E8" s="10"/>
      <c r="F8" s="10"/>
      <c r="G8" s="10"/>
      <c r="H8" s="10"/>
      <c r="I8" s="10"/>
      <c r="J8" s="41"/>
      <c r="K8" s="10"/>
      <c r="L8" s="10"/>
      <c r="M8" s="10"/>
      <c r="N8" s="10"/>
      <c r="O8" s="12"/>
      <c r="R8" s="13" t="s">
        <v>47</v>
      </c>
    </row>
    <row r="9" spans="1:18" s="13" customFormat="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Q9" s="13" t="s">
        <v>48</v>
      </c>
      <c r="R9" s="42">
        <v>24167</v>
      </c>
    </row>
    <row r="10" spans="1:18" s="17" customFormat="1" ht="19.2" customHeight="1">
      <c r="A10" s="14" t="s">
        <v>13</v>
      </c>
      <c r="B10" s="15" t="s">
        <v>14</v>
      </c>
      <c r="C10" s="16">
        <f>C12+C18</f>
        <v>51445.299999999996</v>
      </c>
      <c r="D10" s="16">
        <f>D12+D18</f>
        <v>34467.350000000006</v>
      </c>
      <c r="E10" s="16"/>
      <c r="F10" s="16"/>
      <c r="G10" s="43"/>
      <c r="H10" s="43"/>
      <c r="I10" s="16">
        <f t="shared" ref="I10:O10" si="0">I12+I18</f>
        <v>12487120.858240001</v>
      </c>
      <c r="J10" s="16">
        <f t="shared" si="0"/>
        <v>12649166.9</v>
      </c>
      <c r="K10" s="16">
        <f t="shared" si="0"/>
        <v>11383828.800000001</v>
      </c>
      <c r="L10" s="16">
        <f t="shared" si="0"/>
        <v>0</v>
      </c>
      <c r="M10" s="16">
        <f t="shared" si="0"/>
        <v>768816.39999999991</v>
      </c>
      <c r="N10" s="16">
        <f t="shared" si="0"/>
        <v>496521.69999999995</v>
      </c>
      <c r="O10" s="16">
        <f t="shared" si="0"/>
        <v>202346</v>
      </c>
      <c r="P10" s="20">
        <f>J10/12/1.295/D10*1000</f>
        <v>23615.81914448613</v>
      </c>
      <c r="Q10" s="44">
        <v>33725.25</v>
      </c>
      <c r="R10" s="42">
        <f>J10/1.295/Q10/12*1000</f>
        <v>24135.468350559418</v>
      </c>
    </row>
    <row r="11" spans="1:18" s="17" customFormat="1" ht="17.7" customHeight="1">
      <c r="A11" s="14"/>
      <c r="B11" s="15" t="s">
        <v>15</v>
      </c>
      <c r="C11" s="16"/>
      <c r="D11" s="16"/>
      <c r="E11" s="16"/>
      <c r="F11" s="16"/>
      <c r="G11" s="43"/>
      <c r="H11" s="43"/>
      <c r="I11" s="16"/>
      <c r="J11" s="16"/>
      <c r="K11" s="16"/>
      <c r="L11" s="16"/>
      <c r="M11" s="16"/>
      <c r="N11" s="16"/>
      <c r="O11" s="16"/>
    </row>
    <row r="12" spans="1:18" s="21" customFormat="1">
      <c r="A12" s="18"/>
      <c r="B12" s="19" t="s">
        <v>16</v>
      </c>
      <c r="C12" s="18">
        <f>C22+C32+C42+C52</f>
        <v>35334.699999999997</v>
      </c>
      <c r="D12" s="18">
        <f>D22+D32+D42+D52</f>
        <v>21210.400000000001</v>
      </c>
      <c r="E12" s="18"/>
      <c r="F12" s="18">
        <v>25890</v>
      </c>
      <c r="G12" s="18">
        <v>100</v>
      </c>
      <c r="H12" s="18">
        <f>J12/D12/12/1.295*1000</f>
        <v>26381.630200982967</v>
      </c>
      <c r="I12" s="18">
        <f t="shared" ref="I12:O12" si="1">I22+I32+I42+I52</f>
        <v>8533592.9582400005</v>
      </c>
      <c r="J12" s="18">
        <f t="shared" si="1"/>
        <v>8695639</v>
      </c>
      <c r="K12" s="18">
        <f t="shared" si="1"/>
        <v>8186498.8000000007</v>
      </c>
      <c r="L12" s="18">
        <f t="shared" si="1"/>
        <v>0</v>
      </c>
      <c r="M12" s="18">
        <f t="shared" si="1"/>
        <v>278879.8</v>
      </c>
      <c r="N12" s="18">
        <f t="shared" si="1"/>
        <v>230260.4</v>
      </c>
      <c r="O12" s="18">
        <f t="shared" si="1"/>
        <v>202346</v>
      </c>
      <c r="P12" s="20">
        <f>J12/12/1.295/D12*1000</f>
        <v>26381.630200982971</v>
      </c>
    </row>
    <row r="13" spans="1:18" s="21" customFormat="1">
      <c r="A13" s="18"/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</row>
    <row r="14" spans="1:18" s="21" customFormat="1">
      <c r="A14" s="18"/>
      <c r="B14" s="19" t="s">
        <v>18</v>
      </c>
      <c r="C14" s="18">
        <f>C24+C34+C44+C54</f>
        <v>10822</v>
      </c>
      <c r="D14" s="18">
        <f>D24+D34+D44+D54</f>
        <v>10832</v>
      </c>
      <c r="E14" s="18"/>
      <c r="F14" s="18"/>
      <c r="G14" s="18"/>
      <c r="H14" s="18"/>
      <c r="I14" s="18">
        <f t="shared" ref="I14:O17" si="2">I24+I34+I44+I54</f>
        <v>0</v>
      </c>
      <c r="J14" s="18">
        <f t="shared" si="2"/>
        <v>24044</v>
      </c>
      <c r="K14" s="18">
        <f t="shared" si="2"/>
        <v>15277</v>
      </c>
      <c r="L14" s="18">
        <f t="shared" si="2"/>
        <v>0</v>
      </c>
      <c r="M14" s="18">
        <f t="shared" si="2"/>
        <v>8767</v>
      </c>
      <c r="N14" s="18">
        <f t="shared" si="2"/>
        <v>0</v>
      </c>
      <c r="O14" s="18">
        <f t="shared" si="2"/>
        <v>0</v>
      </c>
      <c r="P14" s="20"/>
    </row>
    <row r="15" spans="1:18" s="21" customFormat="1">
      <c r="A15" s="18"/>
      <c r="B15" s="19" t="s">
        <v>19</v>
      </c>
      <c r="C15" s="18">
        <f>C25+C45+C35+C55</f>
        <v>1497</v>
      </c>
      <c r="D15" s="18">
        <f>D25+D45+D35+D55</f>
        <v>1497</v>
      </c>
      <c r="E15" s="18"/>
      <c r="F15" s="18"/>
      <c r="G15" s="18"/>
      <c r="H15" s="18"/>
      <c r="I15" s="18">
        <f t="shared" si="2"/>
        <v>0</v>
      </c>
      <c r="J15" s="18">
        <f t="shared" si="2"/>
        <v>69647.03</v>
      </c>
      <c r="K15" s="18">
        <f t="shared" si="2"/>
        <v>69647.03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20"/>
    </row>
    <row r="16" spans="1:18" s="21" customFormat="1">
      <c r="A16" s="18"/>
      <c r="B16" s="19" t="s">
        <v>20</v>
      </c>
      <c r="C16" s="18">
        <f>C26+C36+C46+C56</f>
        <v>14036</v>
      </c>
      <c r="D16" s="18">
        <f>D26+D36+D46+D56</f>
        <v>14036</v>
      </c>
      <c r="E16" s="18"/>
      <c r="F16" s="18"/>
      <c r="G16" s="18"/>
      <c r="H16" s="18"/>
      <c r="I16" s="18">
        <f t="shared" si="2"/>
        <v>0</v>
      </c>
      <c r="J16" s="18">
        <f t="shared" si="2"/>
        <v>297331.90000000002</v>
      </c>
      <c r="K16" s="18">
        <f t="shared" si="2"/>
        <v>297331.90000000002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8">
        <f t="shared" si="2"/>
        <v>0</v>
      </c>
      <c r="P16" s="20"/>
    </row>
    <row r="17" spans="1:18" s="21" customFormat="1">
      <c r="A17" s="18"/>
      <c r="B17" s="19" t="s">
        <v>21</v>
      </c>
      <c r="C17" s="18">
        <f>C27+C37+C47+C57</f>
        <v>0</v>
      </c>
      <c r="D17" s="18">
        <f>D27+D37+D47+D57</f>
        <v>0</v>
      </c>
      <c r="E17" s="18"/>
      <c r="F17" s="18"/>
      <c r="G17" s="18"/>
      <c r="H17" s="18"/>
      <c r="I17" s="18">
        <f t="shared" si="2"/>
        <v>0</v>
      </c>
      <c r="J17" s="18">
        <f t="shared" si="2"/>
        <v>131537</v>
      </c>
      <c r="K17" s="18">
        <f t="shared" si="2"/>
        <v>131537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20"/>
    </row>
    <row r="18" spans="1:18" s="21" customFormat="1">
      <c r="A18" s="18"/>
      <c r="B18" s="19" t="s">
        <v>22</v>
      </c>
      <c r="C18" s="18">
        <f>C28+C48+C58+C38</f>
        <v>16110.6</v>
      </c>
      <c r="D18" s="18">
        <f>D28+D48+D58+D38</f>
        <v>13256.95</v>
      </c>
      <c r="E18" s="18"/>
      <c r="F18" s="18"/>
      <c r="G18" s="18"/>
      <c r="H18" s="18"/>
      <c r="I18" s="18">
        <f t="shared" ref="I18:O18" si="3">I28+I48+I58+I38</f>
        <v>3953527.9000000004</v>
      </c>
      <c r="J18" s="18">
        <f t="shared" si="3"/>
        <v>3953527.9000000004</v>
      </c>
      <c r="K18" s="18">
        <f t="shared" si="3"/>
        <v>3197330</v>
      </c>
      <c r="L18" s="18">
        <f t="shared" si="3"/>
        <v>0</v>
      </c>
      <c r="M18" s="18">
        <f t="shared" si="3"/>
        <v>489936.6</v>
      </c>
      <c r="N18" s="18">
        <f t="shared" si="3"/>
        <v>266261.3</v>
      </c>
      <c r="O18" s="18">
        <f t="shared" si="3"/>
        <v>0</v>
      </c>
      <c r="P18" s="20">
        <f>J18/12/1.295/D18*1000</f>
        <v>19190.671668428622</v>
      </c>
    </row>
    <row r="19" spans="1:18" s="25" customForma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>
        <f>K20-K21</f>
        <v>0</v>
      </c>
      <c r="L19" s="23"/>
      <c r="M19" s="23"/>
      <c r="N19" s="23">
        <f>N20-N21</f>
        <v>0</v>
      </c>
      <c r="O19" s="23"/>
      <c r="P19" s="20"/>
      <c r="Q19" s="25">
        <f>Q20-Q21</f>
        <v>104194.75499999989</v>
      </c>
      <c r="R19" s="25">
        <f>R20-R21</f>
        <v>0</v>
      </c>
    </row>
    <row r="20" spans="1:18" s="25" customFormat="1">
      <c r="A20" s="23"/>
      <c r="B20" s="24"/>
      <c r="C20" s="23"/>
      <c r="D20" s="23"/>
      <c r="E20" s="23"/>
      <c r="F20" s="23"/>
      <c r="G20" s="23"/>
      <c r="H20" s="23"/>
      <c r="I20" s="23"/>
      <c r="J20" s="23"/>
      <c r="K20" s="45">
        <f>5899114+141812+K24+K25+K26+K27+58372</f>
        <v>6341344.9000000004</v>
      </c>
      <c r="L20" s="23"/>
      <c r="M20" s="23"/>
      <c r="N20" s="23">
        <v>14724.6</v>
      </c>
      <c r="O20" s="23"/>
      <c r="P20" s="20"/>
      <c r="Q20" s="25">
        <f>5030489*1.295</f>
        <v>6514483.2549999999</v>
      </c>
      <c r="R20" s="25">
        <v>39966.6</v>
      </c>
    </row>
    <row r="21" spans="1:18" s="49" customFormat="1" ht="19.2" customHeight="1">
      <c r="A21" s="46" t="s">
        <v>23</v>
      </c>
      <c r="B21" s="47" t="s">
        <v>24</v>
      </c>
      <c r="C21" s="48">
        <f>C22+C28</f>
        <v>27475.599999999999</v>
      </c>
      <c r="D21" s="48">
        <f>D22+D28</f>
        <v>18092.349999999999</v>
      </c>
      <c r="E21" s="48"/>
      <c r="F21" s="48"/>
      <c r="G21" s="48"/>
      <c r="H21" s="48"/>
      <c r="I21" s="48">
        <f t="shared" ref="I21:O21" si="4">I22+I28</f>
        <v>6197850.0355000002</v>
      </c>
      <c r="J21" s="48">
        <f t="shared" si="4"/>
        <v>6356069.5</v>
      </c>
      <c r="K21" s="48">
        <f t="shared" si="4"/>
        <v>6341344.9000000004</v>
      </c>
      <c r="L21" s="48">
        <f t="shared" si="4"/>
        <v>0</v>
      </c>
      <c r="M21" s="48">
        <f t="shared" si="4"/>
        <v>0</v>
      </c>
      <c r="N21" s="48">
        <f t="shared" si="4"/>
        <v>14724.6</v>
      </c>
      <c r="O21" s="48">
        <f t="shared" si="4"/>
        <v>112816</v>
      </c>
      <c r="P21" s="20">
        <f>J21/12/1.295/D21*1000</f>
        <v>22606.98479404176</v>
      </c>
      <c r="Q21" s="49">
        <f>J21+J51</f>
        <v>6410288.5</v>
      </c>
      <c r="R21" s="49">
        <f>N21+N51</f>
        <v>39966.6</v>
      </c>
    </row>
    <row r="22" spans="1:18" s="20" customFormat="1">
      <c r="A22" s="22"/>
      <c r="B22" s="50" t="s">
        <v>49</v>
      </c>
      <c r="C22" s="51">
        <v>18304.3</v>
      </c>
      <c r="D22" s="51">
        <f>10738+29.5</f>
        <v>10767.5</v>
      </c>
      <c r="E22" s="51"/>
      <c r="F22" s="51">
        <v>25890</v>
      </c>
      <c r="G22" s="51">
        <v>100</v>
      </c>
      <c r="H22" s="27">
        <f>J22/D22/12/1.295*1000</f>
        <v>26835.570719480631</v>
      </c>
      <c r="I22" s="51">
        <f>D22*F22*12*1.295/1000</f>
        <v>4332094.7355000004</v>
      </c>
      <c r="J22" s="51">
        <f>K22+M22+N22</f>
        <v>4490314.2</v>
      </c>
      <c r="K22" s="51">
        <v>4490314.2</v>
      </c>
      <c r="L22" s="51">
        <v>0</v>
      </c>
      <c r="M22" s="51">
        <v>0</v>
      </c>
      <c r="N22" s="51">
        <v>0</v>
      </c>
      <c r="O22" s="51">
        <v>112816</v>
      </c>
      <c r="P22" s="20">
        <f>J22/12/1.295/D22*1000</f>
        <v>26835.570719480635</v>
      </c>
    </row>
    <row r="23" spans="1:18" s="20" customFormat="1">
      <c r="A23" s="22"/>
      <c r="B23" s="50" t="s">
        <v>17</v>
      </c>
      <c r="C23" s="51"/>
      <c r="D23" s="51"/>
      <c r="E23" s="51"/>
      <c r="F23" s="51"/>
      <c r="G23" s="51"/>
      <c r="H23" s="51"/>
      <c r="I23" s="51"/>
      <c r="J23" s="51">
        <f t="shared" ref="J23:J28" si="5">K23+M23+N23</f>
        <v>0</v>
      </c>
      <c r="K23" s="51"/>
      <c r="L23" s="51"/>
      <c r="M23" s="51"/>
      <c r="N23" s="51"/>
      <c r="O23" s="51"/>
    </row>
    <row r="24" spans="1:18" s="20" customFormat="1">
      <c r="A24" s="22"/>
      <c r="B24" s="50" t="s">
        <v>18</v>
      </c>
      <c r="C24" s="51">
        <v>10725</v>
      </c>
      <c r="D24" s="51">
        <v>10725</v>
      </c>
      <c r="E24" s="51"/>
      <c r="F24" s="51"/>
      <c r="G24" s="51"/>
      <c r="H24" s="51"/>
      <c r="I24" s="51"/>
      <c r="J24" s="51">
        <f t="shared" si="5"/>
        <v>15137</v>
      </c>
      <c r="K24" s="51">
        <v>15137</v>
      </c>
      <c r="L24" s="51">
        <v>0</v>
      </c>
      <c r="M24" s="51">
        <v>0</v>
      </c>
      <c r="N24" s="51">
        <v>0</v>
      </c>
      <c r="O24" s="51">
        <v>0</v>
      </c>
    </row>
    <row r="25" spans="1:18" s="20" customFormat="1">
      <c r="A25" s="22"/>
      <c r="B25" s="50" t="s">
        <v>19</v>
      </c>
      <c r="C25" s="51">
        <v>395</v>
      </c>
      <c r="D25" s="51">
        <v>395</v>
      </c>
      <c r="E25" s="51"/>
      <c r="F25" s="51"/>
      <c r="G25" s="51"/>
      <c r="H25" s="51"/>
      <c r="I25" s="51"/>
      <c r="J25" s="51">
        <f t="shared" si="5"/>
        <v>23183.9</v>
      </c>
      <c r="K25" s="51">
        <v>23183.9</v>
      </c>
      <c r="L25" s="51">
        <v>0</v>
      </c>
      <c r="M25" s="51">
        <v>0</v>
      </c>
      <c r="N25" s="51">
        <v>0</v>
      </c>
      <c r="O25" s="51">
        <v>0</v>
      </c>
    </row>
    <row r="26" spans="1:18" s="20" customFormat="1">
      <c r="A26" s="22"/>
      <c r="B26" s="50" t="s">
        <v>20</v>
      </c>
      <c r="C26" s="51">
        <v>7233</v>
      </c>
      <c r="D26" s="51">
        <v>7233</v>
      </c>
      <c r="E26" s="51"/>
      <c r="F26" s="51"/>
      <c r="G26" s="51"/>
      <c r="H26" s="51"/>
      <c r="I26" s="51"/>
      <c r="J26" s="51">
        <f t="shared" si="5"/>
        <v>144263</v>
      </c>
      <c r="K26" s="51">
        <f>2446+141817</f>
        <v>144263</v>
      </c>
      <c r="L26" s="51">
        <v>0</v>
      </c>
      <c r="M26" s="51">
        <v>0</v>
      </c>
      <c r="N26" s="51">
        <v>0</v>
      </c>
      <c r="O26" s="51">
        <v>0</v>
      </c>
    </row>
    <row r="27" spans="1:18" s="20" customFormat="1">
      <c r="A27" s="22"/>
      <c r="B27" s="50" t="s">
        <v>21</v>
      </c>
      <c r="C27" s="51"/>
      <c r="D27" s="51"/>
      <c r="E27" s="51"/>
      <c r="F27" s="51"/>
      <c r="G27" s="51"/>
      <c r="H27" s="51"/>
      <c r="I27" s="51"/>
      <c r="J27" s="51">
        <f t="shared" si="5"/>
        <v>59463</v>
      </c>
      <c r="K27" s="51">
        <v>59463</v>
      </c>
      <c r="L27" s="51">
        <v>0</v>
      </c>
      <c r="M27" s="51">
        <v>0</v>
      </c>
      <c r="N27" s="51">
        <v>0</v>
      </c>
      <c r="O27" s="51">
        <v>0</v>
      </c>
    </row>
    <row r="28" spans="1:18" s="20" customFormat="1">
      <c r="A28" s="22"/>
      <c r="B28" s="50" t="s">
        <v>22</v>
      </c>
      <c r="C28" s="51">
        <v>9171.2999999999993</v>
      </c>
      <c r="D28" s="51">
        <v>7324.85</v>
      </c>
      <c r="E28" s="51"/>
      <c r="F28" s="51"/>
      <c r="G28" s="51"/>
      <c r="H28" s="51"/>
      <c r="I28" s="51">
        <f>J28</f>
        <v>1865755.3</v>
      </c>
      <c r="J28" s="51">
        <f t="shared" si="5"/>
        <v>1865755.3</v>
      </c>
      <c r="K28" s="51">
        <f>1765038+85992.7</f>
        <v>1851030.7</v>
      </c>
      <c r="L28" s="51">
        <v>0</v>
      </c>
      <c r="M28" s="51">
        <v>0</v>
      </c>
      <c r="N28" s="51">
        <v>14724.6</v>
      </c>
      <c r="O28" s="51"/>
      <c r="P28" s="20">
        <f>J28/12/1.295/D28*1000</f>
        <v>16390.980513795315</v>
      </c>
    </row>
    <row r="29" spans="1:18" s="30" customFormat="1">
      <c r="A29" s="28"/>
      <c r="B29" s="29"/>
      <c r="C29" s="28"/>
      <c r="D29" s="28"/>
      <c r="E29" s="28"/>
      <c r="F29" s="28"/>
      <c r="G29" s="28"/>
      <c r="H29" s="28"/>
      <c r="I29" s="28"/>
      <c r="J29" s="28">
        <f>J30-J31</f>
        <v>-59242.399999999441</v>
      </c>
      <c r="K29" s="28">
        <f>K30-K31</f>
        <v>0</v>
      </c>
      <c r="L29" s="28"/>
      <c r="M29" s="28"/>
      <c r="N29" s="28"/>
      <c r="O29" s="28"/>
      <c r="P29" s="20"/>
    </row>
    <row r="30" spans="1:18" s="30" customFormat="1">
      <c r="A30" s="28"/>
      <c r="B30" s="29"/>
      <c r="C30" s="28"/>
      <c r="D30" s="28"/>
      <c r="E30" s="28"/>
      <c r="F30" s="28"/>
      <c r="G30" s="28"/>
      <c r="H30" s="28"/>
      <c r="I30" s="28"/>
      <c r="J30" s="28">
        <v>3895522.2</v>
      </c>
      <c r="K30" s="28">
        <f>2929633+922+K35+K36+K37+1919</f>
        <v>3086205.1999999997</v>
      </c>
      <c r="L30" s="28"/>
      <c r="M30" s="28"/>
      <c r="N30" s="28"/>
      <c r="O30" s="28"/>
      <c r="P30" s="20"/>
    </row>
    <row r="31" spans="1:18" s="53" customFormat="1">
      <c r="A31" s="46" t="s">
        <v>25</v>
      </c>
      <c r="B31" s="52" t="s">
        <v>26</v>
      </c>
      <c r="C31" s="46">
        <f>C32+C38</f>
        <v>15490.800000000001</v>
      </c>
      <c r="D31" s="46">
        <f>D32+D38</f>
        <v>9863</v>
      </c>
      <c r="E31" s="46">
        <f>E32+E38</f>
        <v>1441.3000000000002</v>
      </c>
      <c r="F31" s="46"/>
      <c r="G31" s="46"/>
      <c r="H31" s="46"/>
      <c r="I31" s="46">
        <f t="shared" ref="I31:O31" si="6">I32+I38</f>
        <v>3896100.05382</v>
      </c>
      <c r="J31" s="46">
        <f t="shared" si="6"/>
        <v>3954764.5999999996</v>
      </c>
      <c r="K31" s="46">
        <f t="shared" si="6"/>
        <v>3086205.2</v>
      </c>
      <c r="L31" s="46">
        <f t="shared" si="6"/>
        <v>0</v>
      </c>
      <c r="M31" s="46">
        <f t="shared" si="6"/>
        <v>584811</v>
      </c>
      <c r="N31" s="46">
        <f t="shared" si="6"/>
        <v>283748.40000000002</v>
      </c>
      <c r="O31" s="46">
        <f t="shared" si="6"/>
        <v>57210</v>
      </c>
      <c r="P31" s="20">
        <f>J31/12/1.302/D31*1000</f>
        <v>25663.706190062429</v>
      </c>
      <c r="Q31" s="53">
        <f>Q32*1.302</f>
        <v>-5955.994000000308</v>
      </c>
    </row>
    <row r="32" spans="1:18" s="20" customFormat="1">
      <c r="A32" s="22"/>
      <c r="B32" s="26" t="s">
        <v>16</v>
      </c>
      <c r="C32" s="54">
        <v>11035.2</v>
      </c>
      <c r="D32" s="22">
        <v>6504.7</v>
      </c>
      <c r="E32" s="22">
        <v>676.6</v>
      </c>
      <c r="F32" s="22">
        <f>F22</f>
        <v>25890</v>
      </c>
      <c r="G32" s="22">
        <v>100</v>
      </c>
      <c r="H32" s="27">
        <f>J32/D32/12/1.295*1000</f>
        <v>26470.359943079671</v>
      </c>
      <c r="I32" s="22">
        <f>D32*F32*12*1.295/1000</f>
        <v>2617039.8538199998</v>
      </c>
      <c r="J32" s="22">
        <f>K32+M32+N32</f>
        <v>2675704.4</v>
      </c>
      <c r="K32" s="22">
        <v>2269729.2000000002</v>
      </c>
      <c r="L32" s="22"/>
      <c r="M32" s="22">
        <f>236400+11496.8</f>
        <v>247896.8</v>
      </c>
      <c r="N32" s="22">
        <v>158078.39999999999</v>
      </c>
      <c r="O32" s="22">
        <v>57210</v>
      </c>
      <c r="P32" s="20">
        <f>J32/12/1.295/D32*1000</f>
        <v>26470.359943079671</v>
      </c>
      <c r="Q32" s="20">
        <f>J32/1.302-2059647</f>
        <v>-4574.4961597544607</v>
      </c>
    </row>
    <row r="33" spans="1:17" s="20" customFormat="1">
      <c r="A33" s="22"/>
      <c r="B33" s="26" t="s">
        <v>17</v>
      </c>
      <c r="C33" s="22"/>
      <c r="D33" s="22"/>
      <c r="E33" s="22"/>
      <c r="F33" s="22"/>
      <c r="G33" s="22"/>
      <c r="H33" s="22"/>
      <c r="I33" s="22"/>
      <c r="J33" s="22">
        <f t="shared" ref="J33:J38" si="7">K33+M33+N33</f>
        <v>0</v>
      </c>
      <c r="K33" s="22"/>
      <c r="L33" s="22"/>
      <c r="M33" s="22"/>
      <c r="N33" s="22"/>
      <c r="O33" s="22"/>
    </row>
    <row r="34" spans="1:17" s="20" customFormat="1">
      <c r="A34" s="22"/>
      <c r="B34" s="26" t="s">
        <v>18</v>
      </c>
      <c r="C34" s="22">
        <v>0</v>
      </c>
      <c r="D34" s="22">
        <v>0</v>
      </c>
      <c r="E34" s="22"/>
      <c r="F34" s="22"/>
      <c r="G34" s="22"/>
      <c r="H34" s="22"/>
      <c r="I34" s="22"/>
      <c r="J34" s="22">
        <f t="shared" si="7"/>
        <v>8767</v>
      </c>
      <c r="K34" s="22">
        <v>0</v>
      </c>
      <c r="L34" s="22">
        <v>0</v>
      </c>
      <c r="M34" s="22">
        <v>8767</v>
      </c>
      <c r="N34" s="22">
        <v>0</v>
      </c>
      <c r="O34" s="22">
        <v>0</v>
      </c>
    </row>
    <row r="35" spans="1:17" s="20" customFormat="1">
      <c r="A35" s="22"/>
      <c r="B35" s="26" t="s">
        <v>19</v>
      </c>
      <c r="C35" s="22">
        <v>736</v>
      </c>
      <c r="D35" s="22">
        <v>736</v>
      </c>
      <c r="E35" s="22"/>
      <c r="F35" s="22"/>
      <c r="G35" s="22"/>
      <c r="H35" s="22"/>
      <c r="I35" s="22"/>
      <c r="J35" s="22">
        <f t="shared" si="7"/>
        <v>22805.3</v>
      </c>
      <c r="K35" s="22">
        <v>22805.3</v>
      </c>
      <c r="L35" s="22">
        <v>0</v>
      </c>
      <c r="M35" s="22">
        <v>0</v>
      </c>
      <c r="N35" s="22">
        <v>0</v>
      </c>
      <c r="O35" s="22">
        <v>0</v>
      </c>
    </row>
    <row r="36" spans="1:17" s="20" customFormat="1">
      <c r="A36" s="22"/>
      <c r="B36" s="26" t="s">
        <v>20</v>
      </c>
      <c r="C36" s="22">
        <v>4051</v>
      </c>
      <c r="D36" s="22">
        <v>4051</v>
      </c>
      <c r="E36" s="22"/>
      <c r="F36" s="22"/>
      <c r="G36" s="22"/>
      <c r="H36" s="22"/>
      <c r="I36" s="22"/>
      <c r="J36" s="22">
        <f t="shared" si="7"/>
        <v>89575.9</v>
      </c>
      <c r="K36" s="22">
        <v>89575.9</v>
      </c>
      <c r="L36" s="22">
        <v>0</v>
      </c>
      <c r="M36" s="22">
        <v>0</v>
      </c>
      <c r="N36" s="22">
        <v>0</v>
      </c>
      <c r="O36" s="22">
        <v>0</v>
      </c>
    </row>
    <row r="37" spans="1:17" s="20" customFormat="1">
      <c r="A37" s="22"/>
      <c r="B37" s="26" t="s">
        <v>21</v>
      </c>
      <c r="C37" s="22"/>
      <c r="D37" s="22"/>
      <c r="E37" s="22"/>
      <c r="F37" s="22"/>
      <c r="G37" s="22"/>
      <c r="H37" s="22"/>
      <c r="I37" s="22"/>
      <c r="J37" s="22">
        <f t="shared" si="7"/>
        <v>41350</v>
      </c>
      <c r="K37" s="22">
        <v>41350</v>
      </c>
      <c r="L37" s="22">
        <v>0</v>
      </c>
      <c r="M37" s="22">
        <v>0</v>
      </c>
      <c r="N37" s="22">
        <v>0</v>
      </c>
      <c r="O37" s="22">
        <v>0</v>
      </c>
    </row>
    <row r="38" spans="1:17" s="20" customFormat="1">
      <c r="A38" s="22"/>
      <c r="B38" s="26" t="s">
        <v>22</v>
      </c>
      <c r="C38" s="54">
        <v>4455.6000000000004</v>
      </c>
      <c r="D38" s="54">
        <v>3358.3</v>
      </c>
      <c r="E38" s="54">
        <v>764.7</v>
      </c>
      <c r="F38" s="22"/>
      <c r="G38" s="22"/>
      <c r="H38" s="22"/>
      <c r="I38" s="22">
        <f>J38</f>
        <v>1279060.2</v>
      </c>
      <c r="J38" s="22">
        <f t="shared" si="7"/>
        <v>1279060.2</v>
      </c>
      <c r="K38" s="22">
        <v>816476</v>
      </c>
      <c r="L38" s="22">
        <v>0</v>
      </c>
      <c r="M38" s="22">
        <f>182582+154332.2</f>
        <v>336914.2</v>
      </c>
      <c r="N38" s="22">
        <f>62390.6+63279.4</f>
        <v>125670</v>
      </c>
      <c r="O38" s="22"/>
      <c r="P38" s="20">
        <f>J38/12/1.295/D38*1000</f>
        <v>24508.711603372591</v>
      </c>
    </row>
    <row r="39" spans="1:17" s="30" customForma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>
        <f>K40-K41</f>
        <v>3.0000000027939677E-2</v>
      </c>
      <c r="L39" s="28"/>
      <c r="M39" s="28"/>
      <c r="N39" s="28"/>
      <c r="O39" s="28"/>
      <c r="P39" s="20"/>
    </row>
    <row r="40" spans="1:17" s="30" customForma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>
        <f>1814220+K45+K46+K47-4793.1</f>
        <v>1927301.73</v>
      </c>
      <c r="L40" s="28"/>
      <c r="M40" s="28"/>
      <c r="N40" s="28"/>
      <c r="O40" s="28"/>
      <c r="P40" s="20"/>
    </row>
    <row r="41" spans="1:17" s="53" customFormat="1">
      <c r="A41" s="46" t="s">
        <v>27</v>
      </c>
      <c r="B41" s="52" t="s">
        <v>28</v>
      </c>
      <c r="C41" s="46">
        <f>C42+C48</f>
        <v>8332.7999999999993</v>
      </c>
      <c r="D41" s="46">
        <f>D42+D48</f>
        <v>6354.2</v>
      </c>
      <c r="E41" s="46"/>
      <c r="F41" s="46"/>
      <c r="G41" s="46"/>
      <c r="H41" s="46"/>
      <c r="I41" s="46">
        <f t="shared" ref="I41:O41" si="8">I42+I48</f>
        <v>2327751.7581199999</v>
      </c>
      <c r="J41" s="46">
        <f t="shared" si="8"/>
        <v>2284113.7999999998</v>
      </c>
      <c r="K41" s="46">
        <f t="shared" si="8"/>
        <v>1927301.7</v>
      </c>
      <c r="L41" s="46">
        <f t="shared" si="8"/>
        <v>0</v>
      </c>
      <c r="M41" s="46">
        <f t="shared" si="8"/>
        <v>184005.4</v>
      </c>
      <c r="N41" s="46">
        <f t="shared" si="8"/>
        <v>172806.7</v>
      </c>
      <c r="O41" s="46">
        <f t="shared" si="8"/>
        <v>32320</v>
      </c>
      <c r="P41" s="20">
        <f>J41/12/1.295/D41*1000</f>
        <v>23131.60901653552</v>
      </c>
      <c r="Q41" s="53">
        <f>Q42*1.302</f>
        <v>-4793.0880000002098</v>
      </c>
    </row>
    <row r="42" spans="1:17" s="20" customFormat="1">
      <c r="A42" s="22"/>
      <c r="B42" s="26" t="s">
        <v>16</v>
      </c>
      <c r="C42" s="22">
        <v>5898.6</v>
      </c>
      <c r="D42" s="22">
        <v>3820.2</v>
      </c>
      <c r="E42" s="22"/>
      <c r="F42" s="22">
        <f>F32</f>
        <v>25890</v>
      </c>
      <c r="G42" s="22">
        <v>100</v>
      </c>
      <c r="H42" s="27">
        <f>J42/D42/12/1.295*1000</f>
        <v>25154.932356126006</v>
      </c>
      <c r="I42" s="22">
        <f>D42*F42*12*1.295/1000</f>
        <v>1536983.35812</v>
      </c>
      <c r="J42" s="22">
        <f>K42+M42+N42</f>
        <v>1493345.4</v>
      </c>
      <c r="K42" s="22">
        <v>1404288.4</v>
      </c>
      <c r="L42" s="22"/>
      <c r="M42" s="22">
        <v>30983</v>
      </c>
      <c r="N42" s="22">
        <v>58074</v>
      </c>
      <c r="O42" s="22">
        <v>32320</v>
      </c>
      <c r="P42" s="20">
        <f>J42/12/1.295/D42*1000</f>
        <v>25154.93235612601</v>
      </c>
      <c r="Q42" s="20">
        <f>J42/1.302-1150644</f>
        <v>-3681.3271889402531</v>
      </c>
    </row>
    <row r="43" spans="1:17" s="20" customFormat="1">
      <c r="A43" s="22"/>
      <c r="B43" s="26" t="s">
        <v>17</v>
      </c>
      <c r="C43" s="22"/>
      <c r="D43" s="22"/>
      <c r="E43" s="22"/>
      <c r="F43" s="22"/>
      <c r="G43" s="22"/>
      <c r="H43" s="22"/>
      <c r="I43" s="22"/>
      <c r="J43" s="22">
        <f t="shared" ref="J43:J48" si="9">K43+M43+N43</f>
        <v>0</v>
      </c>
      <c r="K43" s="22"/>
      <c r="L43" s="22"/>
      <c r="M43" s="22"/>
      <c r="N43" s="22"/>
      <c r="O43" s="22"/>
    </row>
    <row r="44" spans="1:17" s="20" customFormat="1">
      <c r="A44" s="22"/>
      <c r="B44" s="26" t="s">
        <v>18</v>
      </c>
      <c r="C44" s="22"/>
      <c r="D44" s="22"/>
      <c r="E44" s="22"/>
      <c r="F44" s="22"/>
      <c r="G44" s="22"/>
      <c r="H44" s="22"/>
      <c r="I44" s="22"/>
      <c r="J44" s="22">
        <f t="shared" si="9"/>
        <v>0</v>
      </c>
      <c r="K44" s="22">
        <v>0</v>
      </c>
      <c r="L44" s="22">
        <v>0</v>
      </c>
      <c r="M44" s="22">
        <v>0</v>
      </c>
      <c r="N44" s="22">
        <v>0</v>
      </c>
      <c r="O44" s="22"/>
    </row>
    <row r="45" spans="1:17" s="20" customFormat="1">
      <c r="A45" s="22"/>
      <c r="B45" s="26" t="s">
        <v>19</v>
      </c>
      <c r="C45" s="22">
        <v>366</v>
      </c>
      <c r="D45" s="22">
        <v>366</v>
      </c>
      <c r="E45" s="22"/>
      <c r="F45" s="22"/>
      <c r="G45" s="22"/>
      <c r="H45" s="22"/>
      <c r="I45" s="22"/>
      <c r="J45" s="22">
        <f t="shared" si="9"/>
        <v>23657.83</v>
      </c>
      <c r="K45" s="22">
        <v>23657.83</v>
      </c>
      <c r="L45" s="22">
        <v>0</v>
      </c>
      <c r="M45" s="22">
        <v>0</v>
      </c>
      <c r="N45" s="22">
        <v>0</v>
      </c>
      <c r="O45" s="22">
        <v>0</v>
      </c>
    </row>
    <row r="46" spans="1:17" s="20" customFormat="1">
      <c r="A46" s="22"/>
      <c r="B46" s="26" t="s">
        <v>20</v>
      </c>
      <c r="C46" s="22">
        <v>2705</v>
      </c>
      <c r="D46" s="22">
        <v>2705</v>
      </c>
      <c r="E46" s="22"/>
      <c r="F46" s="22"/>
      <c r="G46" s="22"/>
      <c r="H46" s="22"/>
      <c r="I46" s="22"/>
      <c r="J46" s="22">
        <f t="shared" si="9"/>
        <v>63493</v>
      </c>
      <c r="K46" s="22">
        <v>63493</v>
      </c>
      <c r="L46" s="22">
        <v>0</v>
      </c>
      <c r="M46" s="22">
        <v>0</v>
      </c>
      <c r="N46" s="22">
        <v>0</v>
      </c>
      <c r="O46" s="22">
        <v>0</v>
      </c>
    </row>
    <row r="47" spans="1:17" s="20" customFormat="1" ht="19.2" customHeight="1">
      <c r="A47" s="22"/>
      <c r="B47" s="26" t="s">
        <v>21</v>
      </c>
      <c r="C47" s="22"/>
      <c r="D47" s="22"/>
      <c r="E47" s="22"/>
      <c r="F47" s="22"/>
      <c r="G47" s="22"/>
      <c r="H47" s="22"/>
      <c r="I47" s="22"/>
      <c r="J47" s="22">
        <f t="shared" si="9"/>
        <v>30724</v>
      </c>
      <c r="K47" s="22">
        <v>30724</v>
      </c>
      <c r="L47" s="22">
        <v>0</v>
      </c>
      <c r="M47" s="22">
        <v>0</v>
      </c>
      <c r="N47" s="22">
        <v>0</v>
      </c>
      <c r="O47" s="22">
        <v>0</v>
      </c>
    </row>
    <row r="48" spans="1:17" s="20" customFormat="1">
      <c r="A48" s="22"/>
      <c r="B48" s="26" t="s">
        <v>22</v>
      </c>
      <c r="C48" s="22">
        <v>2434.1999999999998</v>
      </c>
      <c r="D48" s="22">
        <v>2534</v>
      </c>
      <c r="E48" s="22"/>
      <c r="F48" s="22"/>
      <c r="G48" s="22"/>
      <c r="H48" s="22"/>
      <c r="I48" s="22">
        <f>J48</f>
        <v>790768.4</v>
      </c>
      <c r="J48" s="22">
        <f t="shared" si="9"/>
        <v>790768.4</v>
      </c>
      <c r="K48" s="22">
        <f>565514.8-42501.5</f>
        <v>523013.30000000005</v>
      </c>
      <c r="L48" s="22"/>
      <c r="M48" s="22">
        <f>22862+130160.4</f>
        <v>153022.39999999999</v>
      </c>
      <c r="N48" s="22">
        <v>114732.7</v>
      </c>
      <c r="O48" s="22"/>
      <c r="P48" s="20">
        <f>J48/12/1.295/D48*1000</f>
        <v>20081.293380425192</v>
      </c>
    </row>
    <row r="49" spans="1:17" s="20" customFormat="1" ht="26.25" customHeight="1">
      <c r="A49" s="22"/>
      <c r="B49" s="26"/>
      <c r="C49" s="22"/>
      <c r="D49" s="22"/>
      <c r="E49" s="22"/>
      <c r="F49" s="22"/>
      <c r="G49" s="22"/>
      <c r="H49" s="22"/>
      <c r="I49" s="22"/>
      <c r="J49" s="22"/>
      <c r="K49" s="28">
        <f>K50-K51</f>
        <v>0</v>
      </c>
      <c r="L49" s="22"/>
      <c r="M49" s="22"/>
      <c r="N49" s="22"/>
      <c r="O49" s="22"/>
    </row>
    <row r="50" spans="1:17" s="20" customFormat="1">
      <c r="A50" s="22"/>
      <c r="B50" s="50"/>
      <c r="C50" s="51"/>
      <c r="D50" s="51"/>
      <c r="E50" s="51"/>
      <c r="F50" s="51"/>
      <c r="G50" s="51"/>
      <c r="H50" s="51"/>
      <c r="I50" s="51"/>
      <c r="J50" s="51"/>
      <c r="K50" s="55">
        <f>28837+K54+K56</f>
        <v>28977</v>
      </c>
      <c r="L50" s="51"/>
      <c r="M50" s="51"/>
      <c r="N50" s="51"/>
      <c r="O50" s="51"/>
    </row>
    <row r="51" spans="1:17" s="53" customFormat="1" ht="31.2">
      <c r="A51" s="46" t="s">
        <v>29</v>
      </c>
      <c r="B51" s="47" t="s">
        <v>30</v>
      </c>
      <c r="C51" s="48">
        <f>C52+C58</f>
        <v>146.1</v>
      </c>
      <c r="D51" s="48">
        <f>D52+D58</f>
        <v>157.80000000000001</v>
      </c>
      <c r="E51" s="48"/>
      <c r="F51" s="48"/>
      <c r="G51" s="48"/>
      <c r="H51" s="48"/>
      <c r="I51" s="48">
        <f t="shared" ref="I51:O51" si="10">I52+I58</f>
        <v>65419.010799999996</v>
      </c>
      <c r="J51" s="48">
        <f t="shared" si="10"/>
        <v>54219</v>
      </c>
      <c r="K51" s="48">
        <f t="shared" si="10"/>
        <v>28977</v>
      </c>
      <c r="L51" s="48">
        <f t="shared" si="10"/>
        <v>0</v>
      </c>
      <c r="M51" s="48">
        <f t="shared" si="10"/>
        <v>0</v>
      </c>
      <c r="N51" s="48">
        <f t="shared" si="10"/>
        <v>25242</v>
      </c>
      <c r="O51" s="48">
        <f t="shared" si="10"/>
        <v>0</v>
      </c>
      <c r="P51" s="20">
        <f>J51/12/1.295/D51*1000</f>
        <v>22110.241691990741</v>
      </c>
    </row>
    <row r="52" spans="1:17" s="20" customFormat="1" ht="31.2">
      <c r="A52" s="22"/>
      <c r="B52" s="50" t="s">
        <v>31</v>
      </c>
      <c r="C52" s="51">
        <v>96.6</v>
      </c>
      <c r="D52" s="51">
        <v>118</v>
      </c>
      <c r="E52" s="51"/>
      <c r="F52" s="51">
        <f>F42</f>
        <v>25890</v>
      </c>
      <c r="G52" s="51">
        <v>100</v>
      </c>
      <c r="H52" s="27">
        <f>J52/D52/12/1.295*1000</f>
        <v>19782.191392360884</v>
      </c>
      <c r="I52" s="51">
        <f>D52*F52*12*1.295/1000</f>
        <v>47475.010799999996</v>
      </c>
      <c r="J52" s="51">
        <f>K52+M52+N52</f>
        <v>36275</v>
      </c>
      <c r="K52" s="51">
        <f>22768-571-30</f>
        <v>22167</v>
      </c>
      <c r="L52" s="51">
        <v>0</v>
      </c>
      <c r="M52" s="51">
        <v>0</v>
      </c>
      <c r="N52" s="51">
        <v>14108</v>
      </c>
      <c r="O52" s="51">
        <v>0</v>
      </c>
      <c r="P52" s="20">
        <f>J52/12/1.295/D52*1000</f>
        <v>19782.191392360884</v>
      </c>
    </row>
    <row r="53" spans="1:17" s="20" customFormat="1">
      <c r="A53" s="22"/>
      <c r="B53" s="50" t="s">
        <v>17</v>
      </c>
      <c r="C53" s="51"/>
      <c r="D53" s="51"/>
      <c r="E53" s="51"/>
      <c r="F53" s="51"/>
      <c r="G53" s="51"/>
      <c r="H53" s="51"/>
      <c r="I53" s="51"/>
      <c r="J53" s="51">
        <f t="shared" ref="J53:J58" si="11">K53+M53+N53</f>
        <v>0</v>
      </c>
      <c r="K53" s="51"/>
      <c r="L53" s="51">
        <v>0</v>
      </c>
      <c r="M53" s="51">
        <v>0</v>
      </c>
      <c r="N53" s="51">
        <v>0</v>
      </c>
      <c r="O53" s="51">
        <v>0</v>
      </c>
    </row>
    <row r="54" spans="1:17" s="20" customFormat="1">
      <c r="A54" s="22"/>
      <c r="B54" s="50" t="s">
        <v>18</v>
      </c>
      <c r="C54" s="51">
        <v>97</v>
      </c>
      <c r="D54" s="51">
        <v>107</v>
      </c>
      <c r="E54" s="51"/>
      <c r="F54" s="51"/>
      <c r="G54" s="51"/>
      <c r="H54" s="51"/>
      <c r="I54" s="51"/>
      <c r="J54" s="51">
        <f t="shared" si="11"/>
        <v>140</v>
      </c>
      <c r="K54" s="51">
        <v>140</v>
      </c>
      <c r="L54" s="51">
        <v>0</v>
      </c>
      <c r="M54" s="51">
        <v>0</v>
      </c>
      <c r="N54" s="51">
        <v>0</v>
      </c>
      <c r="O54" s="51">
        <v>0</v>
      </c>
    </row>
    <row r="55" spans="1:17" s="20" customFormat="1">
      <c r="A55" s="22"/>
      <c r="B55" s="50" t="s">
        <v>19</v>
      </c>
      <c r="C55" s="51">
        <v>0</v>
      </c>
      <c r="D55" s="51">
        <v>0</v>
      </c>
      <c r="E55" s="51"/>
      <c r="F55" s="51"/>
      <c r="G55" s="51"/>
      <c r="H55" s="51"/>
      <c r="I55" s="51"/>
      <c r="J55" s="51">
        <f t="shared" si="11"/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</row>
    <row r="56" spans="1:17" s="20" customFormat="1">
      <c r="A56" s="22"/>
      <c r="B56" s="50" t="s">
        <v>20</v>
      </c>
      <c r="C56" s="51">
        <v>47</v>
      </c>
      <c r="D56" s="51">
        <v>47</v>
      </c>
      <c r="E56" s="51"/>
      <c r="F56" s="51"/>
      <c r="G56" s="51"/>
      <c r="H56" s="51"/>
      <c r="I56" s="51"/>
      <c r="J56" s="51">
        <f t="shared" si="11"/>
        <v>0</v>
      </c>
      <c r="K56" s="51"/>
      <c r="L56" s="51">
        <v>0</v>
      </c>
      <c r="M56" s="51">
        <v>0</v>
      </c>
      <c r="N56" s="51">
        <v>0</v>
      </c>
      <c r="O56" s="51">
        <v>0</v>
      </c>
    </row>
    <row r="57" spans="1:17" s="20" customFormat="1">
      <c r="A57" s="22"/>
      <c r="B57" s="50" t="s">
        <v>21</v>
      </c>
      <c r="C57" s="51">
        <v>0</v>
      </c>
      <c r="D57" s="51">
        <v>0</v>
      </c>
      <c r="E57" s="51"/>
      <c r="F57" s="51"/>
      <c r="G57" s="51"/>
      <c r="H57" s="51"/>
      <c r="I57" s="51"/>
      <c r="J57" s="51">
        <f t="shared" si="11"/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</row>
    <row r="58" spans="1:17" s="20" customFormat="1">
      <c r="A58" s="22"/>
      <c r="B58" s="50" t="s">
        <v>22</v>
      </c>
      <c r="C58" s="51">
        <v>49.5</v>
      </c>
      <c r="D58" s="51">
        <v>39.799999999999997</v>
      </c>
      <c r="E58" s="51"/>
      <c r="F58" s="51"/>
      <c r="G58" s="51"/>
      <c r="H58" s="51"/>
      <c r="I58" s="51">
        <f>J58</f>
        <v>17944</v>
      </c>
      <c r="J58" s="51">
        <f t="shared" si="11"/>
        <v>17944</v>
      </c>
      <c r="K58" s="51">
        <f>7281-471</f>
        <v>6810</v>
      </c>
      <c r="L58" s="51">
        <v>0</v>
      </c>
      <c r="M58" s="51">
        <v>0</v>
      </c>
      <c r="N58" s="51">
        <v>11134</v>
      </c>
      <c r="O58" s="51"/>
      <c r="P58" s="20">
        <f>J58/12/1.295/D58*1000</f>
        <v>29012.501374310425</v>
      </c>
    </row>
    <row r="59" spans="1:17" s="33" customFormat="1" ht="40.950000000000003" customHeight="1">
      <c r="A59" s="31" t="s">
        <v>32</v>
      </c>
      <c r="B59" s="32" t="s">
        <v>33</v>
      </c>
      <c r="C59" s="31">
        <f>C60+C66</f>
        <v>34064.699999999997</v>
      </c>
      <c r="D59" s="31">
        <f>D60+D66</f>
        <v>26205.9</v>
      </c>
      <c r="E59" s="31"/>
      <c r="F59" s="31"/>
      <c r="G59" s="31"/>
      <c r="H59" s="31"/>
      <c r="I59" s="31">
        <f t="shared" ref="I59:O59" si="12">I60+I66</f>
        <v>8170859.8561579995</v>
      </c>
      <c r="J59" s="31">
        <f t="shared" si="12"/>
        <v>8065284.5203999998</v>
      </c>
      <c r="K59" s="31">
        <f t="shared" si="12"/>
        <v>7402177.6999999993</v>
      </c>
      <c r="L59" s="31">
        <f t="shared" si="12"/>
        <v>0</v>
      </c>
      <c r="M59" s="31">
        <f t="shared" si="12"/>
        <v>629238.1</v>
      </c>
      <c r="N59" s="31">
        <f t="shared" si="12"/>
        <v>33868.720400000006</v>
      </c>
      <c r="O59" s="31">
        <f t="shared" si="12"/>
        <v>92261</v>
      </c>
      <c r="P59" s="20">
        <f>J59/12/1.295/D59*1000</f>
        <v>19804.760679439281</v>
      </c>
      <c r="Q59" s="33">
        <f>(J60-J64-J65)/12/D60/1.295*1000</f>
        <v>22001.716120958412</v>
      </c>
    </row>
    <row r="60" spans="1:17" s="36" customFormat="1">
      <c r="A60" s="34"/>
      <c r="B60" s="35" t="s">
        <v>16</v>
      </c>
      <c r="C60" s="34">
        <f t="shared" ref="C60:D64" si="13">C70+C80+C90+C100+C110+C120</f>
        <v>14763</v>
      </c>
      <c r="D60" s="34">
        <v>12448.1</v>
      </c>
      <c r="E60" s="34"/>
      <c r="F60" s="34">
        <v>24167</v>
      </c>
      <c r="G60" s="34">
        <v>92.4</v>
      </c>
      <c r="H60" s="27">
        <f>J60/D60/12/1.295*1000</f>
        <v>23621.231597608716</v>
      </c>
      <c r="I60" s="34">
        <f>I70+I80+I90+I100+I110+I120</f>
        <v>4674948.4361579996</v>
      </c>
      <c r="J60" s="34">
        <f t="shared" ref="J60:O60" si="14">J70+J80+J90+J100+J110+J120</f>
        <v>4569373.1003999999</v>
      </c>
      <c r="K60" s="34">
        <f t="shared" si="14"/>
        <v>4480999.18</v>
      </c>
      <c r="L60" s="34">
        <f t="shared" si="14"/>
        <v>0</v>
      </c>
      <c r="M60" s="34">
        <f t="shared" si="14"/>
        <v>58633.2</v>
      </c>
      <c r="N60" s="34">
        <f t="shared" si="14"/>
        <v>29740.720400000002</v>
      </c>
      <c r="O60" s="34">
        <f t="shared" si="14"/>
        <v>92261</v>
      </c>
      <c r="P60" s="20">
        <f>J60/12/1.295/D60*1000</f>
        <v>23621.231597608716</v>
      </c>
    </row>
    <row r="61" spans="1:17" s="36" customFormat="1">
      <c r="A61" s="34"/>
      <c r="B61" s="35" t="s">
        <v>17</v>
      </c>
      <c r="C61" s="34">
        <f t="shared" si="13"/>
        <v>0</v>
      </c>
      <c r="D61" s="34">
        <f t="shared" si="13"/>
        <v>0</v>
      </c>
      <c r="E61" s="34"/>
      <c r="F61" s="34"/>
      <c r="G61" s="34"/>
      <c r="H61" s="34"/>
      <c r="I61" s="34">
        <f t="shared" ref="I61:O66" si="15">I71+I81+I91+I101+I111+I121</f>
        <v>0</v>
      </c>
      <c r="J61" s="34">
        <f t="shared" si="15"/>
        <v>0</v>
      </c>
      <c r="K61" s="34">
        <f t="shared" si="15"/>
        <v>0</v>
      </c>
      <c r="L61" s="34">
        <f t="shared" si="15"/>
        <v>0</v>
      </c>
      <c r="M61" s="34">
        <f t="shared" si="15"/>
        <v>0</v>
      </c>
      <c r="N61" s="34">
        <f t="shared" si="15"/>
        <v>0</v>
      </c>
      <c r="O61" s="34">
        <f t="shared" si="15"/>
        <v>0</v>
      </c>
      <c r="P61" s="20"/>
    </row>
    <row r="62" spans="1:17" s="36" customFormat="1">
      <c r="A62" s="34"/>
      <c r="B62" s="35" t="s">
        <v>18</v>
      </c>
      <c r="C62" s="34">
        <f t="shared" si="13"/>
        <v>3923</v>
      </c>
      <c r="D62" s="34">
        <f t="shared" si="13"/>
        <v>3923</v>
      </c>
      <c r="E62" s="34"/>
      <c r="F62" s="34"/>
      <c r="G62" s="34"/>
      <c r="H62" s="34"/>
      <c r="I62" s="34">
        <f t="shared" si="15"/>
        <v>0</v>
      </c>
      <c r="J62" s="34">
        <f t="shared" si="15"/>
        <v>14698</v>
      </c>
      <c r="K62" s="34">
        <f t="shared" si="15"/>
        <v>8596</v>
      </c>
      <c r="L62" s="34">
        <f t="shared" si="15"/>
        <v>0</v>
      </c>
      <c r="M62" s="34">
        <f t="shared" si="15"/>
        <v>6102</v>
      </c>
      <c r="N62" s="34">
        <f t="shared" si="15"/>
        <v>0</v>
      </c>
      <c r="O62" s="34">
        <f t="shared" si="15"/>
        <v>0</v>
      </c>
      <c r="P62" s="20"/>
    </row>
    <row r="63" spans="1:17" s="36" customFormat="1">
      <c r="A63" s="34"/>
      <c r="B63" s="35" t="s">
        <v>19</v>
      </c>
      <c r="C63" s="34">
        <f t="shared" si="13"/>
        <v>172</v>
      </c>
      <c r="D63" s="34">
        <f t="shared" si="13"/>
        <v>172</v>
      </c>
      <c r="E63" s="34"/>
      <c r="F63" s="34"/>
      <c r="G63" s="34"/>
      <c r="H63" s="34"/>
      <c r="I63" s="34">
        <f t="shared" si="15"/>
        <v>0</v>
      </c>
      <c r="J63" s="34">
        <f t="shared" si="15"/>
        <v>20795</v>
      </c>
      <c r="K63" s="34">
        <f t="shared" si="15"/>
        <v>14795</v>
      </c>
      <c r="L63" s="34">
        <f t="shared" si="15"/>
        <v>0</v>
      </c>
      <c r="M63" s="34">
        <f t="shared" si="15"/>
        <v>6000</v>
      </c>
      <c r="N63" s="34">
        <f t="shared" si="15"/>
        <v>0</v>
      </c>
      <c r="O63" s="34">
        <f t="shared" si="15"/>
        <v>0</v>
      </c>
      <c r="P63" s="20"/>
    </row>
    <row r="64" spans="1:17" s="36" customFormat="1">
      <c r="A64" s="56"/>
      <c r="B64" s="35" t="s">
        <v>50</v>
      </c>
      <c r="C64" s="34">
        <f t="shared" si="13"/>
        <v>12647</v>
      </c>
      <c r="D64" s="34">
        <f t="shared" si="13"/>
        <v>12647</v>
      </c>
      <c r="E64" s="34"/>
      <c r="F64" s="34"/>
      <c r="G64" s="34"/>
      <c r="H64" s="34"/>
      <c r="I64" s="34">
        <f t="shared" si="15"/>
        <v>0</v>
      </c>
      <c r="J64" s="34">
        <f t="shared" si="15"/>
        <v>197270</v>
      </c>
      <c r="K64" s="34">
        <f t="shared" si="15"/>
        <v>197270</v>
      </c>
      <c r="L64" s="34">
        <f t="shared" si="15"/>
        <v>0</v>
      </c>
      <c r="M64" s="34">
        <f t="shared" si="15"/>
        <v>0</v>
      </c>
      <c r="N64" s="34">
        <f t="shared" si="15"/>
        <v>0</v>
      </c>
      <c r="O64" s="34">
        <f t="shared" si="15"/>
        <v>0</v>
      </c>
      <c r="P64" s="20"/>
    </row>
    <row r="65" spans="1:17" s="36" customFormat="1">
      <c r="A65" s="56"/>
      <c r="B65" s="35" t="s">
        <v>51</v>
      </c>
      <c r="C65" s="34"/>
      <c r="D65" s="34"/>
      <c r="E65" s="34"/>
      <c r="F65" s="34"/>
      <c r="G65" s="34"/>
      <c r="H65" s="34"/>
      <c r="I65" s="34">
        <f t="shared" si="15"/>
        <v>0</v>
      </c>
      <c r="J65" s="34">
        <f t="shared" si="15"/>
        <v>116014.7</v>
      </c>
      <c r="K65" s="34">
        <f t="shared" si="15"/>
        <v>251947.7</v>
      </c>
      <c r="L65" s="34">
        <f t="shared" si="15"/>
        <v>0</v>
      </c>
      <c r="M65" s="34">
        <f t="shared" si="15"/>
        <v>0</v>
      </c>
      <c r="N65" s="34">
        <f t="shared" si="15"/>
        <v>0</v>
      </c>
      <c r="O65" s="34">
        <f t="shared" si="15"/>
        <v>0</v>
      </c>
      <c r="P65" s="20"/>
    </row>
    <row r="66" spans="1:17" s="36" customFormat="1">
      <c r="A66" s="37"/>
      <c r="B66" s="35" t="s">
        <v>22</v>
      </c>
      <c r="C66" s="34">
        <f>C75+C86+C96+C106+C116+C126</f>
        <v>19301.7</v>
      </c>
      <c r="D66" s="34">
        <f>D75+D86+D96+D106+D116+D126</f>
        <v>13757.800000000001</v>
      </c>
      <c r="E66" s="34"/>
      <c r="F66" s="34"/>
      <c r="G66" s="34"/>
      <c r="H66" s="34"/>
      <c r="I66" s="34">
        <f>I76+I86+I96+I106+I116+I126</f>
        <v>3495911.42</v>
      </c>
      <c r="J66" s="34">
        <f t="shared" si="15"/>
        <v>3495911.42</v>
      </c>
      <c r="K66" s="34">
        <f t="shared" si="15"/>
        <v>2921178.52</v>
      </c>
      <c r="L66" s="34">
        <f t="shared" si="15"/>
        <v>0</v>
      </c>
      <c r="M66" s="34">
        <f t="shared" si="15"/>
        <v>570604.9</v>
      </c>
      <c r="N66" s="34">
        <f t="shared" si="15"/>
        <v>4128</v>
      </c>
      <c r="O66" s="34">
        <f t="shared" si="15"/>
        <v>0</v>
      </c>
      <c r="P66" s="20">
        <f>J66/12/1.295/D66*1000</f>
        <v>16351.605986358634</v>
      </c>
    </row>
    <row r="67" spans="1:17" s="25" customFormat="1" ht="18.75" hidden="1" customHeight="1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3">
        <f>K68-K69</f>
        <v>0</v>
      </c>
      <c r="L67" s="23"/>
      <c r="M67" s="23"/>
      <c r="N67" s="23"/>
      <c r="O67" s="23"/>
      <c r="P67" s="20"/>
    </row>
    <row r="68" spans="1:17" s="25" customFormat="1" ht="18.75" hidden="1" customHeight="1">
      <c r="A68" s="23"/>
      <c r="B68" s="57"/>
      <c r="C68" s="45"/>
      <c r="D68" s="45"/>
      <c r="E68" s="45"/>
      <c r="F68" s="45"/>
      <c r="G68" s="45"/>
      <c r="H68" s="45"/>
      <c r="I68" s="45"/>
      <c r="J68" s="45"/>
      <c r="K68" s="45">
        <f>10008+30+250+332</f>
        <v>10620</v>
      </c>
      <c r="L68" s="45"/>
      <c r="M68" s="45"/>
      <c r="N68" s="45"/>
      <c r="O68" s="45"/>
      <c r="P68" s="20"/>
    </row>
    <row r="69" spans="1:17" s="53" customFormat="1">
      <c r="A69" s="46" t="s">
        <v>34</v>
      </c>
      <c r="B69" s="47" t="s">
        <v>24</v>
      </c>
      <c r="C69" s="48">
        <f>C70+C76</f>
        <v>40.799999999999997</v>
      </c>
      <c r="D69" s="48">
        <f>D70+D76</f>
        <v>38.299999999999997</v>
      </c>
      <c r="E69" s="48"/>
      <c r="F69" s="48"/>
      <c r="G69" s="48"/>
      <c r="H69" s="48"/>
      <c r="I69" s="48">
        <f t="shared" ref="I69:O69" si="16">I70+I76</f>
        <v>11340.73806</v>
      </c>
      <c r="J69" s="48">
        <f t="shared" si="16"/>
        <v>11344</v>
      </c>
      <c r="K69" s="48">
        <f>K70+K76</f>
        <v>10620</v>
      </c>
      <c r="L69" s="48">
        <f t="shared" si="16"/>
        <v>0</v>
      </c>
      <c r="M69" s="48">
        <f t="shared" si="16"/>
        <v>0</v>
      </c>
      <c r="N69" s="48">
        <f t="shared" si="16"/>
        <v>724</v>
      </c>
      <c r="O69" s="48">
        <f t="shared" si="16"/>
        <v>92261</v>
      </c>
      <c r="P69" s="20">
        <f>J69/12/1.295/D69*1000</f>
        <v>19059.716187653528</v>
      </c>
    </row>
    <row r="70" spans="1:17" s="20" customFormat="1">
      <c r="A70" s="22"/>
      <c r="B70" s="50" t="s">
        <v>16</v>
      </c>
      <c r="C70" s="51">
        <v>17</v>
      </c>
      <c r="D70" s="51">
        <v>17</v>
      </c>
      <c r="E70" s="51"/>
      <c r="F70" s="58">
        <v>24167</v>
      </c>
      <c r="G70" s="51">
        <v>92.4</v>
      </c>
      <c r="H70" s="27">
        <f>J70/D70/12/1.295*1000</f>
        <v>24179.347414641532</v>
      </c>
      <c r="I70" s="51">
        <f>D70*F70*12*1.295/1000</f>
        <v>6384.4380599999995</v>
      </c>
      <c r="J70" s="51">
        <f t="shared" ref="J70:J77" si="17">K70+M70+N70</f>
        <v>6387.7</v>
      </c>
      <c r="K70" s="51">
        <f>6056+331.7-724</f>
        <v>5663.7</v>
      </c>
      <c r="L70" s="51"/>
      <c r="M70" s="51">
        <v>0</v>
      </c>
      <c r="N70" s="59">
        <v>724</v>
      </c>
      <c r="O70" s="60">
        <v>92261</v>
      </c>
      <c r="P70" s="20">
        <f>J70/12/1.295/D70*1000</f>
        <v>24179.347414641528</v>
      </c>
    </row>
    <row r="71" spans="1:17" s="20" customFormat="1">
      <c r="A71" s="22"/>
      <c r="B71" s="50" t="s">
        <v>17</v>
      </c>
      <c r="C71" s="51"/>
      <c r="D71" s="51"/>
      <c r="E71" s="51"/>
      <c r="F71" s="51"/>
      <c r="G71" s="51"/>
      <c r="H71" s="51"/>
      <c r="I71" s="51"/>
      <c r="J71" s="51">
        <f t="shared" si="17"/>
        <v>0</v>
      </c>
      <c r="K71" s="51"/>
      <c r="L71" s="51"/>
      <c r="M71" s="51"/>
      <c r="N71" s="59"/>
      <c r="O71" s="60"/>
    </row>
    <row r="72" spans="1:17" s="20" customFormat="1">
      <c r="A72" s="22"/>
      <c r="B72" s="50" t="s">
        <v>18</v>
      </c>
      <c r="C72" s="51">
        <v>17</v>
      </c>
      <c r="D72" s="51">
        <v>17</v>
      </c>
      <c r="E72" s="51"/>
      <c r="F72" s="51"/>
      <c r="G72" s="51"/>
      <c r="H72" s="51"/>
      <c r="I72" s="51"/>
      <c r="J72" s="51">
        <f t="shared" si="17"/>
        <v>30</v>
      </c>
      <c r="K72" s="51">
        <v>30</v>
      </c>
      <c r="L72" s="51"/>
      <c r="M72" s="51"/>
      <c r="N72" s="59"/>
      <c r="O72" s="60"/>
    </row>
    <row r="73" spans="1:17" s="20" customFormat="1">
      <c r="A73" s="22"/>
      <c r="B73" s="50" t="s">
        <v>19</v>
      </c>
      <c r="C73" s="51"/>
      <c r="D73" s="51"/>
      <c r="E73" s="51"/>
      <c r="F73" s="51"/>
      <c r="G73" s="51"/>
      <c r="H73" s="51"/>
      <c r="I73" s="51"/>
      <c r="J73" s="51">
        <f t="shared" si="17"/>
        <v>0</v>
      </c>
      <c r="K73" s="51"/>
      <c r="L73" s="51"/>
      <c r="M73" s="51"/>
      <c r="N73" s="59"/>
      <c r="O73" s="60"/>
    </row>
    <row r="74" spans="1:17" s="20" customFormat="1">
      <c r="A74" s="22"/>
      <c r="B74" s="50" t="s">
        <v>50</v>
      </c>
      <c r="C74" s="51">
        <v>16</v>
      </c>
      <c r="D74" s="51">
        <v>16</v>
      </c>
      <c r="E74" s="51"/>
      <c r="F74" s="51"/>
      <c r="G74" s="51"/>
      <c r="H74" s="51"/>
      <c r="I74" s="51"/>
      <c r="J74" s="51">
        <f t="shared" si="17"/>
        <v>250</v>
      </c>
      <c r="K74" s="51">
        <v>250</v>
      </c>
      <c r="L74" s="51"/>
      <c r="M74" s="51"/>
      <c r="N74" s="59"/>
      <c r="O74" s="60"/>
    </row>
    <row r="75" spans="1:17" s="20" customFormat="1" ht="31.2">
      <c r="A75" s="22"/>
      <c r="B75" s="50" t="s">
        <v>52</v>
      </c>
      <c r="C75" s="51"/>
      <c r="D75" s="51"/>
      <c r="E75" s="51"/>
      <c r="F75" s="51"/>
      <c r="G75" s="51"/>
      <c r="H75" s="51"/>
      <c r="I75" s="51"/>
      <c r="J75" s="51">
        <f t="shared" si="17"/>
        <v>331.7</v>
      </c>
      <c r="K75" s="51">
        <v>331.7</v>
      </c>
      <c r="L75" s="51"/>
      <c r="M75" s="51"/>
      <c r="N75" s="59"/>
      <c r="O75" s="60"/>
    </row>
    <row r="76" spans="1:17" s="20" customFormat="1">
      <c r="A76" s="22"/>
      <c r="B76" s="50" t="s">
        <v>22</v>
      </c>
      <c r="C76" s="51">
        <v>23.8</v>
      </c>
      <c r="D76" s="51">
        <v>21.3</v>
      </c>
      <c r="E76" s="51"/>
      <c r="F76" s="51"/>
      <c r="G76" s="51">
        <f>I76-J76</f>
        <v>0</v>
      </c>
      <c r="H76" s="51"/>
      <c r="I76" s="51">
        <f>J76</f>
        <v>4956.3</v>
      </c>
      <c r="J76" s="51">
        <f t="shared" si="17"/>
        <v>4956.3</v>
      </c>
      <c r="K76" s="51">
        <f>4247-14.7+724</f>
        <v>4956.3</v>
      </c>
      <c r="L76" s="51"/>
      <c r="M76" s="51"/>
      <c r="N76" s="59"/>
      <c r="O76" s="60"/>
      <c r="P76" s="20">
        <f>J76/12/1.295/D76*1000</f>
        <v>14973.625537005819</v>
      </c>
    </row>
    <row r="77" spans="1:17" s="20" customFormat="1" hidden="1">
      <c r="A77" s="22"/>
      <c r="B77" s="50"/>
      <c r="C77" s="51"/>
      <c r="D77" s="51"/>
      <c r="E77" s="51"/>
      <c r="F77" s="51"/>
      <c r="G77" s="51"/>
      <c r="H77" s="51"/>
      <c r="I77" s="51"/>
      <c r="J77" s="51">
        <f t="shared" si="17"/>
        <v>0</v>
      </c>
      <c r="K77" s="23">
        <f>K79-K78</f>
        <v>0</v>
      </c>
      <c r="L77" s="51"/>
      <c r="M77" s="51"/>
      <c r="N77" s="59"/>
      <c r="O77" s="60"/>
    </row>
    <row r="78" spans="1:17" s="20" customFormat="1" hidden="1">
      <c r="A78" s="22"/>
      <c r="B78" s="26"/>
      <c r="C78" s="22"/>
      <c r="D78" s="22"/>
      <c r="E78" s="22"/>
      <c r="F78" s="22"/>
      <c r="G78" s="22"/>
      <c r="H78" s="22"/>
      <c r="I78" s="22"/>
      <c r="J78" s="22"/>
      <c r="K78" s="23">
        <f>1833433+K82+K83+K84+K85</f>
        <v>1971510</v>
      </c>
      <c r="L78" s="22"/>
      <c r="M78" s="22"/>
      <c r="N78" s="39"/>
      <c r="O78" s="38"/>
    </row>
    <row r="79" spans="1:17" s="53" customFormat="1">
      <c r="A79" s="46" t="s">
        <v>35</v>
      </c>
      <c r="B79" s="52" t="s">
        <v>26</v>
      </c>
      <c r="C79" s="46">
        <f>C80+C86</f>
        <v>10506</v>
      </c>
      <c r="D79" s="46">
        <f>D80+D86</f>
        <v>7987.3</v>
      </c>
      <c r="E79" s="46"/>
      <c r="F79" s="46"/>
      <c r="G79" s="46"/>
      <c r="H79" s="46"/>
      <c r="I79" s="46">
        <f t="shared" ref="I79:O79" si="18">I80+I86</f>
        <v>2333453.3322740002</v>
      </c>
      <c r="J79" s="46">
        <f t="shared" si="18"/>
        <v>2247572.9204000002</v>
      </c>
      <c r="K79" s="46">
        <f t="shared" si="18"/>
        <v>1971510</v>
      </c>
      <c r="L79" s="46">
        <f t="shared" si="18"/>
        <v>0</v>
      </c>
      <c r="M79" s="46">
        <f t="shared" si="18"/>
        <v>252832.6</v>
      </c>
      <c r="N79" s="46">
        <f t="shared" si="18"/>
        <v>23230.320400000001</v>
      </c>
      <c r="O79" s="46">
        <f t="shared" si="18"/>
        <v>0</v>
      </c>
      <c r="P79" s="20">
        <f>J79/12/1.295/D79*1000</f>
        <v>18107.678697332274</v>
      </c>
    </row>
    <row r="80" spans="1:17" s="20" customFormat="1">
      <c r="A80" s="22"/>
      <c r="B80" s="26" t="s">
        <v>16</v>
      </c>
      <c r="C80" s="22">
        <v>4446</v>
      </c>
      <c r="D80" s="67">
        <f>3735+19.3</f>
        <v>3754.3</v>
      </c>
      <c r="E80" s="22">
        <v>0</v>
      </c>
      <c r="F80" s="61">
        <v>24167</v>
      </c>
      <c r="G80" s="22">
        <v>92.4</v>
      </c>
      <c r="H80" s="27">
        <f>J80/D80/12/1.295*1000</f>
        <v>22694.978576431844</v>
      </c>
      <c r="I80" s="22">
        <f>D80*F80*12*1.295/1000</f>
        <v>1409946.8122739999</v>
      </c>
      <c r="J80" s="22">
        <f t="shared" ref="J80:J86" si="19">K80+M80+N80</f>
        <v>1324066.4004000002</v>
      </c>
      <c r="K80" s="22">
        <f>1209266-49516.4+K85+K84+K83+L80+31233.9-39099.02</f>
        <v>1289961.48</v>
      </c>
      <c r="L80" s="22"/>
      <c r="M80" s="67">
        <f>11607-732.4</f>
        <v>10874.6</v>
      </c>
      <c r="N80" s="67">
        <f>(12861.6+1768.6)*1.302+4181.8</f>
        <v>23230.320400000001</v>
      </c>
      <c r="O80" s="38">
        <v>0</v>
      </c>
      <c r="P80" s="20">
        <f>(J80+J110)/12/1.295/(D80+D110)*1000</f>
        <v>22794.277232883487</v>
      </c>
      <c r="Q80" s="20">
        <f>K80+K110</f>
        <v>1417112.48</v>
      </c>
    </row>
    <row r="81" spans="1:18" s="20" customFormat="1">
      <c r="A81" s="22"/>
      <c r="B81" s="26" t="s">
        <v>17</v>
      </c>
      <c r="C81" s="22"/>
      <c r="D81" s="22"/>
      <c r="E81" s="22"/>
      <c r="F81" s="22"/>
      <c r="G81" s="22"/>
      <c r="H81" s="22"/>
      <c r="I81" s="27"/>
      <c r="J81" s="22">
        <f t="shared" si="19"/>
        <v>0</v>
      </c>
      <c r="K81" s="22"/>
      <c r="L81" s="22"/>
      <c r="M81" s="22"/>
      <c r="N81" s="39"/>
      <c r="O81" s="38">
        <v>0</v>
      </c>
      <c r="P81" s="20">
        <f>(K80+M80+K110+M110)/1.295-1076181.5-27459</f>
        <v>-565.53474903455935</v>
      </c>
      <c r="Q81" s="20">
        <f>Q80/1.302</f>
        <v>1088412.0430107526</v>
      </c>
      <c r="R81" s="20">
        <f>R82*1.302</f>
        <v>-39099.004000000052</v>
      </c>
    </row>
    <row r="82" spans="1:18" s="20" customFormat="1">
      <c r="A82" s="22"/>
      <c r="B82" s="26" t="s">
        <v>18</v>
      </c>
      <c r="C82" s="22">
        <v>3589</v>
      </c>
      <c r="D82" s="22">
        <v>3589</v>
      </c>
      <c r="E82" s="22"/>
      <c r="F82" s="22"/>
      <c r="G82" s="22"/>
      <c r="H82" s="22"/>
      <c r="I82" s="22"/>
      <c r="J82" s="22">
        <f t="shared" si="19"/>
        <v>5607</v>
      </c>
      <c r="K82" s="22"/>
      <c r="L82" s="22"/>
      <c r="M82" s="22">
        <v>5607</v>
      </c>
      <c r="N82" s="39"/>
      <c r="O82" s="38">
        <v>0</v>
      </c>
      <c r="Q82" s="20">
        <v>1118442</v>
      </c>
      <c r="R82" s="20">
        <f>Q81-Q82</f>
        <v>-30029.956989247352</v>
      </c>
    </row>
    <row r="83" spans="1:18" s="20" customFormat="1">
      <c r="A83" s="22"/>
      <c r="B83" s="26" t="s">
        <v>19</v>
      </c>
      <c r="C83" s="22">
        <v>130</v>
      </c>
      <c r="D83" s="22">
        <v>130</v>
      </c>
      <c r="E83" s="22"/>
      <c r="F83" s="22"/>
      <c r="G83" s="22"/>
      <c r="H83" s="22"/>
      <c r="I83" s="22"/>
      <c r="J83" s="22">
        <f t="shared" si="19"/>
        <v>10155</v>
      </c>
      <c r="K83" s="22">
        <v>4155</v>
      </c>
      <c r="L83" s="22"/>
      <c r="M83" s="22">
        <v>6000</v>
      </c>
      <c r="N83" s="39"/>
      <c r="O83" s="38">
        <v>0</v>
      </c>
    </row>
    <row r="84" spans="1:18" s="20" customFormat="1">
      <c r="A84" s="22"/>
      <c r="B84" s="26" t="s">
        <v>50</v>
      </c>
      <c r="C84" s="22">
        <v>3897</v>
      </c>
      <c r="D84" s="22">
        <v>3897</v>
      </c>
      <c r="E84" s="22"/>
      <c r="F84" s="22"/>
      <c r="G84" s="22"/>
      <c r="H84" s="22"/>
      <c r="I84" s="22"/>
      <c r="J84" s="22">
        <f t="shared" si="19"/>
        <v>60887</v>
      </c>
      <c r="K84" s="22">
        <v>60887</v>
      </c>
      <c r="L84" s="22"/>
      <c r="M84" s="22"/>
      <c r="N84" s="39"/>
      <c r="O84" s="38">
        <v>0</v>
      </c>
    </row>
    <row r="85" spans="1:18" s="20" customFormat="1" ht="31.2">
      <c r="A85" s="22"/>
      <c r="B85" s="50" t="s">
        <v>52</v>
      </c>
      <c r="C85" s="22"/>
      <c r="D85" s="22"/>
      <c r="E85" s="22"/>
      <c r="F85" s="22"/>
      <c r="G85" s="22"/>
      <c r="H85" s="22"/>
      <c r="I85" s="22"/>
      <c r="J85" s="22"/>
      <c r="K85" s="22">
        <v>73035</v>
      </c>
      <c r="L85" s="22"/>
      <c r="M85" s="22"/>
      <c r="N85" s="39"/>
      <c r="O85" s="38"/>
    </row>
    <row r="86" spans="1:18" s="20" customFormat="1">
      <c r="A86" s="22"/>
      <c r="B86" s="26" t="s">
        <v>22</v>
      </c>
      <c r="C86" s="22">
        <v>6060</v>
      </c>
      <c r="D86" s="22">
        <v>4233</v>
      </c>
      <c r="E86" s="22">
        <v>1659.8</v>
      </c>
      <c r="F86" s="22"/>
      <c r="G86" s="51">
        <f>I86-J86</f>
        <v>0</v>
      </c>
      <c r="H86" s="51"/>
      <c r="I86" s="22">
        <f>J86</f>
        <v>923506.52</v>
      </c>
      <c r="J86" s="22">
        <f t="shared" si="19"/>
        <v>923506.52</v>
      </c>
      <c r="K86" s="22">
        <f>611505-14416.9-4155+49516.4+39099.02</f>
        <v>681548.52</v>
      </c>
      <c r="L86" s="22"/>
      <c r="M86" s="22">
        <v>241958</v>
      </c>
      <c r="N86" s="39"/>
      <c r="O86" s="38">
        <v>0</v>
      </c>
      <c r="P86" s="20">
        <f>J86/12/1.295/D86*1000</f>
        <v>14039.145757076303</v>
      </c>
    </row>
    <row r="87" spans="1:18" s="20" customFormat="1" hidden="1">
      <c r="A87" s="22"/>
      <c r="B87" s="26"/>
      <c r="C87" s="22"/>
      <c r="D87" s="22"/>
      <c r="E87" s="22"/>
      <c r="F87" s="22"/>
      <c r="G87" s="22"/>
      <c r="H87" s="22"/>
      <c r="I87" s="22"/>
      <c r="J87" s="22"/>
      <c r="K87" s="23">
        <f>K88-K89</f>
        <v>0</v>
      </c>
      <c r="L87" s="22"/>
      <c r="M87" s="22"/>
      <c r="N87" s="39"/>
      <c r="O87" s="38"/>
    </row>
    <row r="88" spans="1:18" s="20" customFormat="1" hidden="1">
      <c r="A88" s="22"/>
      <c r="B88" s="26"/>
      <c r="C88" s="22"/>
      <c r="D88" s="22"/>
      <c r="E88" s="22"/>
      <c r="F88" s="22"/>
      <c r="G88" s="22"/>
      <c r="H88" s="22"/>
      <c r="I88" s="22"/>
      <c r="J88" s="22"/>
      <c r="K88" s="23">
        <f>991351+1942+33342+48372</f>
        <v>1075007</v>
      </c>
      <c r="L88" s="22"/>
      <c r="M88" s="22"/>
      <c r="N88" s="39"/>
      <c r="O88" s="38"/>
    </row>
    <row r="89" spans="1:18" s="53" customFormat="1">
      <c r="A89" s="46" t="s">
        <v>36</v>
      </c>
      <c r="B89" s="52" t="s">
        <v>28</v>
      </c>
      <c r="C89" s="46">
        <f>C90+C96</f>
        <v>6063.5</v>
      </c>
      <c r="D89" s="46">
        <f>D90+D96</f>
        <v>4710.2</v>
      </c>
      <c r="E89" s="46"/>
      <c r="F89" s="46"/>
      <c r="G89" s="46"/>
      <c r="H89" s="46"/>
      <c r="I89" s="46">
        <f t="shared" ref="I89:O89" si="20">I90+I96</f>
        <v>1412090.8849800001</v>
      </c>
      <c r="J89" s="46">
        <f t="shared" si="20"/>
        <v>1372649.9</v>
      </c>
      <c r="K89" s="46">
        <f t="shared" si="20"/>
        <v>1075007</v>
      </c>
      <c r="L89" s="46">
        <f t="shared" si="20"/>
        <v>0</v>
      </c>
      <c r="M89" s="46">
        <f t="shared" si="20"/>
        <v>293508.5</v>
      </c>
      <c r="N89" s="46">
        <f t="shared" si="20"/>
        <v>4134.3999999999996</v>
      </c>
      <c r="O89" s="46">
        <f t="shared" si="20"/>
        <v>0</v>
      </c>
      <c r="P89" s="20">
        <f t="shared" ref="P89" si="21">J89/12/1.295/D89*1000</f>
        <v>18752.942421788757</v>
      </c>
    </row>
    <row r="90" spans="1:18" s="20" customFormat="1">
      <c r="A90" s="22"/>
      <c r="B90" s="26" t="s">
        <v>16</v>
      </c>
      <c r="C90" s="22">
        <v>2527.8000000000002</v>
      </c>
      <c r="D90" s="68">
        <f>2111</f>
        <v>2111</v>
      </c>
      <c r="E90" s="22"/>
      <c r="F90" s="61">
        <v>24167</v>
      </c>
      <c r="G90" s="22">
        <v>92.4</v>
      </c>
      <c r="H90" s="27">
        <f>J90/D90/12/1.295*1000</f>
        <v>22964.712022030832</v>
      </c>
      <c r="I90" s="22">
        <f>D90*F90*12*1.295/1000</f>
        <v>792796.98497999995</v>
      </c>
      <c r="J90" s="22">
        <f t="shared" ref="J90:J96" si="22">K90+M90+N90</f>
        <v>753356</v>
      </c>
      <c r="K90" s="22">
        <f>702760+L90</f>
        <v>702760</v>
      </c>
      <c r="L90" s="22"/>
      <c r="M90" s="68">
        <v>47263.6</v>
      </c>
      <c r="N90" s="68">
        <f>3332.4</f>
        <v>3332.4</v>
      </c>
      <c r="O90" s="38"/>
      <c r="P90" s="20">
        <f>J90/12/1.295/D90*1000</f>
        <v>22964.712022030828</v>
      </c>
    </row>
    <row r="91" spans="1:18" s="20" customFormat="1">
      <c r="A91" s="22"/>
      <c r="B91" s="26" t="s">
        <v>17</v>
      </c>
      <c r="C91" s="22"/>
      <c r="D91" s="22"/>
      <c r="E91" s="22"/>
      <c r="F91" s="22"/>
      <c r="G91" s="22"/>
      <c r="H91" s="22"/>
      <c r="I91" s="27"/>
      <c r="J91" s="22">
        <f t="shared" si="22"/>
        <v>0</v>
      </c>
      <c r="K91" s="22"/>
      <c r="L91" s="22"/>
      <c r="M91" s="22"/>
      <c r="N91" s="39"/>
      <c r="O91" s="38"/>
      <c r="P91" s="20">
        <f>(K90+M90+K120+M120)/1.295-689379.2-14512.2</f>
        <v>-4.8648648476955714E-2</v>
      </c>
    </row>
    <row r="92" spans="1:18" s="20" customFormat="1">
      <c r="A92" s="22"/>
      <c r="B92" s="26" t="s">
        <v>18</v>
      </c>
      <c r="C92" s="22"/>
      <c r="D92" s="22"/>
      <c r="E92" s="22"/>
      <c r="F92" s="22"/>
      <c r="G92" s="22"/>
      <c r="H92" s="22"/>
      <c r="I92" s="22"/>
      <c r="J92" s="22">
        <f t="shared" si="22"/>
        <v>0</v>
      </c>
      <c r="K92" s="22"/>
      <c r="L92" s="22"/>
      <c r="M92" s="22"/>
      <c r="N92" s="39"/>
      <c r="O92" s="38"/>
    </row>
    <row r="93" spans="1:18" s="20" customFormat="1">
      <c r="A93" s="22"/>
      <c r="B93" s="26" t="s">
        <v>19</v>
      </c>
      <c r="C93" s="22">
        <v>35</v>
      </c>
      <c r="D93" s="22">
        <v>35</v>
      </c>
      <c r="E93" s="22"/>
      <c r="F93" s="22"/>
      <c r="G93" s="22"/>
      <c r="H93" s="22"/>
      <c r="I93" s="22"/>
      <c r="J93" s="22">
        <f t="shared" si="22"/>
        <v>1942</v>
      </c>
      <c r="K93" s="22">
        <v>1942</v>
      </c>
      <c r="L93" s="22"/>
      <c r="M93" s="22"/>
      <c r="N93" s="39"/>
      <c r="O93" s="38"/>
    </row>
    <row r="94" spans="1:18" s="20" customFormat="1">
      <c r="A94" s="22"/>
      <c r="B94" s="26" t="s">
        <v>50</v>
      </c>
      <c r="C94" s="22">
        <v>2134</v>
      </c>
      <c r="D94" s="22">
        <v>2134</v>
      </c>
      <c r="E94" s="22"/>
      <c r="F94" s="22"/>
      <c r="G94" s="22"/>
      <c r="H94" s="22"/>
      <c r="I94" s="22"/>
      <c r="J94" s="22">
        <f t="shared" si="22"/>
        <v>33342</v>
      </c>
      <c r="K94" s="22">
        <v>33342</v>
      </c>
      <c r="L94" s="22"/>
      <c r="M94" s="22"/>
      <c r="N94" s="39"/>
      <c r="O94" s="38"/>
    </row>
    <row r="95" spans="1:18" s="20" customFormat="1" ht="31.2">
      <c r="A95" s="22"/>
      <c r="B95" s="50" t="s">
        <v>52</v>
      </c>
      <c r="C95" s="22"/>
      <c r="D95" s="22"/>
      <c r="E95" s="22"/>
      <c r="F95" s="22"/>
      <c r="G95" s="22"/>
      <c r="H95" s="22"/>
      <c r="I95" s="22"/>
      <c r="J95" s="22"/>
      <c r="K95" s="22">
        <v>48372</v>
      </c>
      <c r="L95" s="22"/>
      <c r="M95" s="22"/>
      <c r="N95" s="39"/>
      <c r="O95" s="38"/>
    </row>
    <row r="96" spans="1:18" s="20" customFormat="1">
      <c r="A96" s="22"/>
      <c r="B96" s="26" t="s">
        <v>22</v>
      </c>
      <c r="C96" s="22">
        <v>3535.7</v>
      </c>
      <c r="D96" s="22">
        <v>2599.1999999999998</v>
      </c>
      <c r="E96" s="22"/>
      <c r="F96" s="22"/>
      <c r="G96" s="51">
        <f>I96-J96</f>
        <v>0</v>
      </c>
      <c r="H96" s="51"/>
      <c r="I96" s="22">
        <f>J96</f>
        <v>619293.9</v>
      </c>
      <c r="J96" s="22">
        <f t="shared" si="22"/>
        <v>619293.9</v>
      </c>
      <c r="K96" s="22">
        <f>313950-1038.3+59335.3</f>
        <v>372247</v>
      </c>
      <c r="L96" s="22"/>
      <c r="M96" s="22">
        <f>280773-34528.1</f>
        <v>246244.9</v>
      </c>
      <c r="N96" s="39">
        <v>802</v>
      </c>
      <c r="O96" s="38"/>
      <c r="P96" s="20">
        <f>J96/12/1.295/D96*1000</f>
        <v>15332.256970068607</v>
      </c>
    </row>
    <row r="97" spans="1:17" s="20" customFormat="1" hidden="1">
      <c r="A97" s="22"/>
      <c r="B97" s="26"/>
      <c r="C97" s="22"/>
      <c r="D97" s="22"/>
      <c r="E97" s="22"/>
      <c r="F97" s="22"/>
      <c r="G97" s="22"/>
      <c r="H97" s="22"/>
      <c r="I97" s="22"/>
      <c r="J97" s="22"/>
      <c r="K97" s="23">
        <f>K98-K99</f>
        <v>0</v>
      </c>
      <c r="L97" s="22"/>
      <c r="M97" s="22"/>
      <c r="N97" s="39"/>
      <c r="O97" s="38"/>
    </row>
    <row r="98" spans="1:17" s="20" customFormat="1" hidden="1">
      <c r="A98" s="22"/>
      <c r="B98" s="50"/>
      <c r="C98" s="51"/>
      <c r="D98" s="51"/>
      <c r="E98" s="51"/>
      <c r="F98" s="51"/>
      <c r="G98" s="51"/>
      <c r="H98" s="51"/>
      <c r="I98" s="51"/>
      <c r="J98" s="51"/>
      <c r="K98" s="45">
        <f>3771719+K102+K103+K104+K105</f>
        <v>3995320</v>
      </c>
      <c r="L98" s="51"/>
      <c r="M98" s="51"/>
      <c r="N98" s="59"/>
      <c r="O98" s="60"/>
    </row>
    <row r="99" spans="1:17" s="53" customFormat="1" ht="31.2">
      <c r="A99" s="46" t="s">
        <v>37</v>
      </c>
      <c r="B99" s="47" t="s">
        <v>38</v>
      </c>
      <c r="C99" s="48">
        <f>C100+C106</f>
        <v>15343.2</v>
      </c>
      <c r="D99" s="48">
        <f>D100+D106</f>
        <v>11818.3</v>
      </c>
      <c r="E99" s="48"/>
      <c r="F99" s="48"/>
      <c r="G99" s="48"/>
      <c r="H99" s="48"/>
      <c r="I99" s="48">
        <f t="shared" ref="I99:O99" si="23">I100+I106</f>
        <v>3974608.4173139995</v>
      </c>
      <c r="J99" s="48">
        <f t="shared" si="23"/>
        <v>3997870</v>
      </c>
      <c r="K99" s="48">
        <f t="shared" si="23"/>
        <v>3995320</v>
      </c>
      <c r="L99" s="48">
        <f t="shared" si="23"/>
        <v>0</v>
      </c>
      <c r="M99" s="48">
        <f t="shared" si="23"/>
        <v>0</v>
      </c>
      <c r="N99" s="48">
        <f t="shared" si="23"/>
        <v>2550</v>
      </c>
      <c r="O99" s="48">
        <f t="shared" si="23"/>
        <v>0</v>
      </c>
      <c r="P99" s="20">
        <f t="shared" ref="P99:P100" si="24">J99/12/1.295/D99*1000</f>
        <v>21768.206236361559</v>
      </c>
    </row>
    <row r="100" spans="1:17" s="20" customFormat="1">
      <c r="A100" s="22"/>
      <c r="B100" s="50" t="s">
        <v>16</v>
      </c>
      <c r="C100" s="51">
        <v>6847.7</v>
      </c>
      <c r="D100" s="66">
        <v>5782.3</v>
      </c>
      <c r="E100" s="62"/>
      <c r="F100" s="58">
        <v>24167</v>
      </c>
      <c r="G100" s="51">
        <v>92.4</v>
      </c>
      <c r="H100" s="27">
        <f>J100/D100/12/1.295*1000</f>
        <v>24425.873517930311</v>
      </c>
      <c r="I100" s="51">
        <f>D100*F100*12*1.295/1000</f>
        <v>2171572.7173139998</v>
      </c>
      <c r="J100" s="51">
        <f t="shared" ref="J100:J106" si="25">K100+M100+N100</f>
        <v>2194834.2999999998</v>
      </c>
      <c r="K100" s="66">
        <v>2193947.2999999998</v>
      </c>
      <c r="L100" s="51"/>
      <c r="M100" s="51"/>
      <c r="N100" s="66">
        <v>887</v>
      </c>
      <c r="O100" s="60"/>
      <c r="P100" s="20">
        <f t="shared" si="24"/>
        <v>24425.873517930311</v>
      </c>
      <c r="Q100" s="20">
        <f>(K100-L100)/D100/12/1.295*1000</f>
        <v>24416.002271699832</v>
      </c>
    </row>
    <row r="101" spans="1:17" s="20" customFormat="1">
      <c r="A101" s="22"/>
      <c r="B101" s="50" t="s">
        <v>17</v>
      </c>
      <c r="C101" s="51"/>
      <c r="D101" s="51"/>
      <c r="E101" s="51"/>
      <c r="F101" s="51"/>
      <c r="G101" s="51"/>
      <c r="H101" s="51"/>
      <c r="I101" s="63"/>
      <c r="J101" s="51">
        <f t="shared" si="25"/>
        <v>0</v>
      </c>
      <c r="K101" s="51"/>
      <c r="L101" s="51"/>
      <c r="M101" s="51"/>
      <c r="N101" s="59"/>
      <c r="O101" s="60"/>
    </row>
    <row r="102" spans="1:17" s="20" customFormat="1">
      <c r="A102" s="22"/>
      <c r="B102" s="50" t="s">
        <v>18</v>
      </c>
      <c r="C102" s="51"/>
      <c r="D102" s="51"/>
      <c r="E102" s="51"/>
      <c r="F102" s="51"/>
      <c r="G102" s="51"/>
      <c r="H102" s="51"/>
      <c r="I102" s="51"/>
      <c r="J102" s="51">
        <f t="shared" si="25"/>
        <v>8566</v>
      </c>
      <c r="K102" s="51">
        <v>8566</v>
      </c>
      <c r="L102" s="51"/>
      <c r="M102" s="51"/>
      <c r="N102" s="59"/>
      <c r="O102" s="60"/>
    </row>
    <row r="103" spans="1:17" s="20" customFormat="1">
      <c r="A103" s="22"/>
      <c r="B103" s="50" t="s">
        <v>19</v>
      </c>
      <c r="C103" s="51"/>
      <c r="D103" s="51"/>
      <c r="E103" s="51"/>
      <c r="F103" s="51"/>
      <c r="G103" s="51"/>
      <c r="H103" s="51"/>
      <c r="I103" s="51"/>
      <c r="J103" s="51">
        <f t="shared" si="25"/>
        <v>8154</v>
      </c>
      <c r="K103" s="51">
        <v>8154</v>
      </c>
      <c r="L103" s="51"/>
      <c r="M103" s="51"/>
      <c r="N103" s="59"/>
      <c r="O103" s="60"/>
    </row>
    <row r="104" spans="1:17" s="20" customFormat="1">
      <c r="A104" s="22"/>
      <c r="B104" s="50" t="s">
        <v>50</v>
      </c>
      <c r="C104" s="51">
        <v>5858</v>
      </c>
      <c r="D104" s="51">
        <v>5858</v>
      </c>
      <c r="E104" s="51"/>
      <c r="F104" s="51"/>
      <c r="G104" s="51"/>
      <c r="H104" s="51"/>
      <c r="I104" s="51"/>
      <c r="J104" s="51">
        <f t="shared" si="25"/>
        <v>91198</v>
      </c>
      <c r="K104" s="51">
        <v>91198</v>
      </c>
      <c r="L104" s="51"/>
      <c r="M104" s="51"/>
      <c r="N104" s="59"/>
      <c r="O104" s="60"/>
    </row>
    <row r="105" spans="1:17" s="20" customFormat="1">
      <c r="A105" s="22"/>
      <c r="B105" s="50" t="s">
        <v>53</v>
      </c>
      <c r="C105" s="51"/>
      <c r="D105" s="51"/>
      <c r="E105" s="51"/>
      <c r="F105" s="51"/>
      <c r="G105" s="51"/>
      <c r="H105" s="51"/>
      <c r="I105" s="51"/>
      <c r="J105" s="51">
        <f t="shared" si="25"/>
        <v>115683</v>
      </c>
      <c r="K105" s="51">
        <v>115683</v>
      </c>
      <c r="L105" s="51"/>
      <c r="M105" s="51"/>
      <c r="N105" s="59"/>
      <c r="O105" s="60"/>
    </row>
    <row r="106" spans="1:17" s="20" customFormat="1">
      <c r="A106" s="22"/>
      <c r="B106" s="50" t="s">
        <v>22</v>
      </c>
      <c r="C106" s="22">
        <v>8495.5</v>
      </c>
      <c r="D106" s="22">
        <v>6036</v>
      </c>
      <c r="E106" s="22"/>
      <c r="F106" s="51"/>
      <c r="G106" s="51">
        <f>I106-J106</f>
        <v>0</v>
      </c>
      <c r="H106" s="51"/>
      <c r="I106" s="51">
        <f>J106</f>
        <v>1803035.7</v>
      </c>
      <c r="J106" s="51">
        <f t="shared" si="25"/>
        <v>1803035.7</v>
      </c>
      <c r="K106" s="66">
        <f>1767960+39661-6248.3</f>
        <v>1801372.7</v>
      </c>
      <c r="L106" s="51"/>
      <c r="M106" s="51"/>
      <c r="N106" s="59">
        <v>1663</v>
      </c>
      <c r="O106" s="60"/>
      <c r="P106" s="20">
        <f>J106/12/1.295/D106*1000</f>
        <v>19222.243757532029</v>
      </c>
    </row>
    <row r="107" spans="1:17" s="20" customFormat="1" hidden="1">
      <c r="A107" s="22"/>
      <c r="B107" s="26"/>
      <c r="C107" s="22"/>
      <c r="D107" s="22"/>
      <c r="E107" s="22"/>
      <c r="F107" s="22"/>
      <c r="G107" s="22"/>
      <c r="H107" s="22"/>
      <c r="I107" s="22"/>
      <c r="J107" s="22"/>
      <c r="K107" s="23">
        <f>K108-K109</f>
        <v>0</v>
      </c>
      <c r="L107" s="22"/>
      <c r="M107" s="22"/>
      <c r="N107" s="39"/>
      <c r="O107" s="38"/>
    </row>
    <row r="108" spans="1:17" s="20" customFormat="1" hidden="1">
      <c r="A108" s="22"/>
      <c r="B108" s="26"/>
      <c r="C108" s="22"/>
      <c r="D108" s="22"/>
      <c r="E108" s="22"/>
      <c r="F108" s="22"/>
      <c r="G108" s="22"/>
      <c r="H108" s="22"/>
      <c r="I108" s="22"/>
      <c r="J108" s="22"/>
      <c r="K108" s="23">
        <v>150415.1</v>
      </c>
      <c r="L108" s="22"/>
      <c r="M108" s="22"/>
      <c r="N108" s="39"/>
      <c r="O108" s="38"/>
    </row>
    <row r="109" spans="1:17" s="53" customFormat="1" ht="31.2">
      <c r="A109" s="46" t="s">
        <v>39</v>
      </c>
      <c r="B109" s="52" t="s">
        <v>40</v>
      </c>
      <c r="C109" s="46">
        <f>C110+C116</f>
        <v>713</v>
      </c>
      <c r="D109" s="46">
        <f>D110+D116</f>
        <v>630</v>
      </c>
      <c r="E109" s="46"/>
      <c r="F109" s="46"/>
      <c r="G109" s="46"/>
      <c r="H109" s="46"/>
      <c r="I109" s="46">
        <f t="shared" ref="I109:O109" si="26">I110+I116</f>
        <v>173606.08192</v>
      </c>
      <c r="J109" s="46">
        <f t="shared" si="26"/>
        <v>172061.1</v>
      </c>
      <c r="K109" s="46">
        <f>K110+K116</f>
        <v>150415.1</v>
      </c>
      <c r="L109" s="46">
        <f t="shared" si="26"/>
        <v>0</v>
      </c>
      <c r="M109" s="46">
        <f t="shared" si="26"/>
        <v>21646</v>
      </c>
      <c r="N109" s="46">
        <f t="shared" si="26"/>
        <v>0</v>
      </c>
      <c r="O109" s="46">
        <f t="shared" si="26"/>
        <v>0</v>
      </c>
      <c r="P109" s="20">
        <f t="shared" ref="P109:P110" si="27">J109/12/1.295/D109*1000</f>
        <v>17574.829931972788</v>
      </c>
    </row>
    <row r="110" spans="1:17" s="20" customFormat="1">
      <c r="A110" s="22"/>
      <c r="B110" s="26" t="s">
        <v>16</v>
      </c>
      <c r="C110" s="22">
        <v>397</v>
      </c>
      <c r="D110" s="22">
        <v>344</v>
      </c>
      <c r="E110" s="22"/>
      <c r="F110" s="61">
        <v>24167</v>
      </c>
      <c r="G110" s="22">
        <v>92.4</v>
      </c>
      <c r="H110" s="27">
        <f>J110/D110/12/1.295*1000</f>
        <v>23877.989284966032</v>
      </c>
      <c r="I110" s="22">
        <f>D110*F110*12*1.295/1000</f>
        <v>129190.98191999999</v>
      </c>
      <c r="J110" s="22">
        <f t="shared" ref="J110:J116" si="28">K110+M110+N110</f>
        <v>127646</v>
      </c>
      <c r="K110" s="22">
        <f>114334+K112+K114+7864</f>
        <v>127151</v>
      </c>
      <c r="L110" s="22"/>
      <c r="M110" s="22">
        <v>495</v>
      </c>
      <c r="N110" s="39"/>
      <c r="O110" s="38"/>
      <c r="P110" s="20">
        <f t="shared" si="27"/>
        <v>23877.989284966028</v>
      </c>
    </row>
    <row r="111" spans="1:17" s="20" customFormat="1">
      <c r="A111" s="22"/>
      <c r="B111" s="26" t="s">
        <v>17</v>
      </c>
      <c r="C111" s="22"/>
      <c r="D111" s="22"/>
      <c r="E111" s="22"/>
      <c r="F111" s="22"/>
      <c r="G111" s="22"/>
      <c r="H111" s="22"/>
      <c r="I111" s="22"/>
      <c r="J111" s="22">
        <f t="shared" si="28"/>
        <v>0</v>
      </c>
      <c r="K111" s="22"/>
      <c r="L111" s="22"/>
      <c r="M111" s="22"/>
      <c r="N111" s="39"/>
      <c r="O111" s="38"/>
    </row>
    <row r="112" spans="1:17" s="20" customFormat="1">
      <c r="A112" s="22"/>
      <c r="B112" s="26" t="s">
        <v>18</v>
      </c>
      <c r="C112" s="22">
        <v>317</v>
      </c>
      <c r="D112" s="22">
        <v>317</v>
      </c>
      <c r="E112" s="22"/>
      <c r="F112" s="22"/>
      <c r="G112" s="22"/>
      <c r="H112" s="22"/>
      <c r="I112" s="22"/>
      <c r="J112" s="22">
        <f t="shared" si="28"/>
        <v>495</v>
      </c>
      <c r="K112" s="22"/>
      <c r="L112" s="22"/>
      <c r="M112" s="22">
        <v>495</v>
      </c>
      <c r="N112" s="39"/>
      <c r="O112" s="38"/>
    </row>
    <row r="113" spans="1:16" s="20" customFormat="1">
      <c r="A113" s="22"/>
      <c r="B113" s="26" t="s">
        <v>19</v>
      </c>
      <c r="C113" s="22"/>
      <c r="D113" s="22"/>
      <c r="E113" s="22"/>
      <c r="F113" s="22"/>
      <c r="G113" s="22"/>
      <c r="H113" s="22"/>
      <c r="I113" s="22"/>
      <c r="J113" s="22">
        <f t="shared" si="28"/>
        <v>0</v>
      </c>
      <c r="K113" s="22"/>
      <c r="L113" s="22"/>
      <c r="M113" s="22"/>
      <c r="N113" s="39"/>
      <c r="O113" s="38"/>
    </row>
    <row r="114" spans="1:16" s="20" customFormat="1">
      <c r="A114" s="22"/>
      <c r="B114" s="26" t="s">
        <v>50</v>
      </c>
      <c r="C114" s="22">
        <v>317</v>
      </c>
      <c r="D114" s="22">
        <v>317</v>
      </c>
      <c r="E114" s="22"/>
      <c r="F114" s="22"/>
      <c r="G114" s="22"/>
      <c r="H114" s="22"/>
      <c r="I114" s="22"/>
      <c r="J114" s="22">
        <f t="shared" si="28"/>
        <v>4953</v>
      </c>
      <c r="K114" s="22">
        <v>4953</v>
      </c>
      <c r="L114" s="22"/>
      <c r="M114" s="22"/>
      <c r="N114" s="39"/>
      <c r="O114" s="38"/>
    </row>
    <row r="115" spans="1:16" s="20" customFormat="1" ht="31.2">
      <c r="A115" s="22"/>
      <c r="B115" s="50" t="s">
        <v>52</v>
      </c>
      <c r="C115" s="22"/>
      <c r="D115" s="22"/>
      <c r="E115" s="22"/>
      <c r="F115" s="22"/>
      <c r="G115" s="22"/>
      <c r="H115" s="22"/>
      <c r="I115" s="22"/>
      <c r="J115" s="22"/>
      <c r="K115" s="22">
        <v>5423</v>
      </c>
      <c r="L115" s="22"/>
      <c r="M115" s="22"/>
      <c r="N115" s="39"/>
      <c r="O115" s="38"/>
    </row>
    <row r="116" spans="1:16" s="20" customFormat="1">
      <c r="A116" s="22"/>
      <c r="B116" s="26" t="s">
        <v>22</v>
      </c>
      <c r="C116" s="22">
        <v>316</v>
      </c>
      <c r="D116" s="22">
        <v>286</v>
      </c>
      <c r="E116" s="22"/>
      <c r="F116" s="22"/>
      <c r="G116" s="51">
        <f>I116-J116</f>
        <v>0</v>
      </c>
      <c r="H116" s="51"/>
      <c r="I116" s="22">
        <f>J116</f>
        <v>44415.1</v>
      </c>
      <c r="J116" s="22">
        <f t="shared" si="28"/>
        <v>44415.1</v>
      </c>
      <c r="K116" s="22">
        <v>23264.1</v>
      </c>
      <c r="L116" s="22"/>
      <c r="M116" s="22">
        <v>21151</v>
      </c>
      <c r="N116" s="39"/>
      <c r="O116" s="38"/>
    </row>
    <row r="117" spans="1:16" s="20" customFormat="1" ht="15.75" hidden="1" customHeight="1">
      <c r="A117" s="22"/>
      <c r="B117" s="26"/>
      <c r="C117" s="22"/>
      <c r="D117" s="22"/>
      <c r="E117" s="22"/>
      <c r="F117" s="22"/>
      <c r="G117" s="22"/>
      <c r="H117" s="22"/>
      <c r="I117" s="22"/>
      <c r="J117" s="22"/>
      <c r="K117" s="23">
        <f>K118-K119</f>
        <v>0</v>
      </c>
      <c r="L117" s="22"/>
      <c r="M117" s="22"/>
      <c r="N117" s="39"/>
      <c r="O117" s="38"/>
    </row>
    <row r="118" spans="1:16" s="20" customFormat="1" ht="15.75" hidden="1" customHeight="1">
      <c r="A118" s="22"/>
      <c r="B118" s="26"/>
      <c r="C118" s="22"/>
      <c r="D118" s="22"/>
      <c r="E118" s="22"/>
      <c r="F118" s="22"/>
      <c r="G118" s="22"/>
      <c r="H118" s="22"/>
      <c r="I118" s="22"/>
      <c r="J118" s="22"/>
      <c r="K118" s="23">
        <v>199305.60000000001</v>
      </c>
      <c r="L118" s="22"/>
      <c r="M118" s="22"/>
      <c r="N118" s="39"/>
      <c r="O118" s="38"/>
    </row>
    <row r="119" spans="1:16" s="53" customFormat="1" ht="31.2">
      <c r="A119" s="46" t="s">
        <v>41</v>
      </c>
      <c r="B119" s="52" t="s">
        <v>42</v>
      </c>
      <c r="C119" s="46">
        <f>C120+C126</f>
        <v>1422</v>
      </c>
      <c r="D119" s="46">
        <f>D120+D126</f>
        <v>1043.0999999999999</v>
      </c>
      <c r="E119" s="46"/>
      <c r="F119" s="46"/>
      <c r="G119" s="46"/>
      <c r="H119" s="46"/>
      <c r="I119" s="46">
        <f>I120+I126</f>
        <v>265760.40160999994</v>
      </c>
      <c r="J119" s="46">
        <f t="shared" ref="J119:O119" si="29">J120+J126</f>
        <v>263786.59999999998</v>
      </c>
      <c r="K119" s="46">
        <f>K120+K126</f>
        <v>199305.60000000001</v>
      </c>
      <c r="L119" s="46">
        <f t="shared" si="29"/>
        <v>0</v>
      </c>
      <c r="M119" s="46">
        <f t="shared" si="29"/>
        <v>61251</v>
      </c>
      <c r="N119" s="46">
        <f t="shared" si="29"/>
        <v>3230</v>
      </c>
      <c r="O119" s="46">
        <f t="shared" si="29"/>
        <v>0</v>
      </c>
      <c r="P119" s="20">
        <f t="shared" ref="P119:P120" si="30">J119/12/1.295/D119*1000</f>
        <v>16273.305229301777</v>
      </c>
    </row>
    <row r="120" spans="1:16" s="20" customFormat="1">
      <c r="A120" s="22"/>
      <c r="B120" s="26" t="s">
        <v>16</v>
      </c>
      <c r="C120" s="22">
        <v>527.5</v>
      </c>
      <c r="D120" s="22">
        <v>439.5</v>
      </c>
      <c r="E120" s="22"/>
      <c r="F120" s="61">
        <v>24167</v>
      </c>
      <c r="G120" s="22">
        <v>92.4</v>
      </c>
      <c r="H120" s="27">
        <f>J120/D120/12/1.295*1000</f>
        <v>23878.002819982346</v>
      </c>
      <c r="I120" s="22">
        <f>D120*F120*12*1.295/1000</f>
        <v>165056.50160999998</v>
      </c>
      <c r="J120" s="22">
        <f t="shared" ref="J120:J126" si="31">K120+M120+N120</f>
        <v>163082.70000000001</v>
      </c>
      <c r="K120" s="22">
        <f>141673.1+544+6640+12658.6</f>
        <v>161515.70000000001</v>
      </c>
      <c r="L120" s="22"/>
      <c r="M120" s="22"/>
      <c r="N120" s="39">
        <v>1567</v>
      </c>
      <c r="O120" s="38"/>
      <c r="P120" s="20">
        <f t="shared" si="30"/>
        <v>23878.002819982346</v>
      </c>
    </row>
    <row r="121" spans="1:16" s="20" customFormat="1">
      <c r="A121" s="22"/>
      <c r="B121" s="26" t="s">
        <v>17</v>
      </c>
      <c r="C121" s="22"/>
      <c r="D121" s="22"/>
      <c r="E121" s="22"/>
      <c r="F121" s="22"/>
      <c r="G121" s="22"/>
      <c r="H121" s="22"/>
      <c r="I121" s="64"/>
      <c r="J121" s="22">
        <f t="shared" si="31"/>
        <v>0</v>
      </c>
      <c r="K121" s="22"/>
      <c r="L121" s="22"/>
      <c r="M121" s="22"/>
      <c r="N121" s="39"/>
      <c r="O121" s="38"/>
    </row>
    <row r="122" spans="1:16" s="20" customFormat="1">
      <c r="A122" s="22"/>
      <c r="B122" s="26" t="s">
        <v>18</v>
      </c>
      <c r="C122" s="22"/>
      <c r="D122" s="22"/>
      <c r="E122" s="22"/>
      <c r="F122" s="22"/>
      <c r="G122" s="22"/>
      <c r="H122" s="22"/>
      <c r="I122" s="22"/>
      <c r="J122" s="22">
        <f t="shared" si="31"/>
        <v>0</v>
      </c>
      <c r="K122" s="22"/>
      <c r="L122" s="22"/>
      <c r="M122" s="22"/>
      <c r="N122" s="39"/>
      <c r="O122" s="38"/>
    </row>
    <row r="123" spans="1:16" s="20" customFormat="1">
      <c r="A123" s="22"/>
      <c r="B123" s="26" t="s">
        <v>19</v>
      </c>
      <c r="C123" s="22">
        <v>7</v>
      </c>
      <c r="D123" s="22">
        <v>7</v>
      </c>
      <c r="E123" s="22"/>
      <c r="F123" s="22"/>
      <c r="G123" s="22"/>
      <c r="H123" s="22"/>
      <c r="I123" s="22"/>
      <c r="J123" s="22">
        <f t="shared" si="31"/>
        <v>544</v>
      </c>
      <c r="K123" s="22">
        <v>544</v>
      </c>
      <c r="L123" s="22"/>
      <c r="M123" s="22"/>
      <c r="N123" s="39"/>
      <c r="O123" s="38"/>
    </row>
    <row r="124" spans="1:16" s="20" customFormat="1">
      <c r="A124" s="22"/>
      <c r="B124" s="26" t="s">
        <v>50</v>
      </c>
      <c r="C124" s="22">
        <v>425</v>
      </c>
      <c r="D124" s="22">
        <v>425</v>
      </c>
      <c r="E124" s="22"/>
      <c r="F124" s="22"/>
      <c r="G124" s="22"/>
      <c r="H124" s="22"/>
      <c r="I124" s="22"/>
      <c r="J124" s="22">
        <f t="shared" si="31"/>
        <v>6640</v>
      </c>
      <c r="K124" s="22">
        <v>6640</v>
      </c>
      <c r="L124" s="22"/>
      <c r="M124" s="22"/>
      <c r="N124" s="39"/>
      <c r="O124" s="38"/>
    </row>
    <row r="125" spans="1:16" s="20" customFormat="1" ht="31.2">
      <c r="A125" s="22"/>
      <c r="B125" s="50" t="s">
        <v>52</v>
      </c>
      <c r="C125" s="22"/>
      <c r="D125" s="22"/>
      <c r="E125" s="22"/>
      <c r="F125" s="22"/>
      <c r="G125" s="22"/>
      <c r="H125" s="22"/>
      <c r="I125" s="22"/>
      <c r="J125" s="22"/>
      <c r="K125" s="22">
        <v>9103</v>
      </c>
      <c r="L125" s="22"/>
      <c r="M125" s="22"/>
      <c r="N125" s="39"/>
      <c r="O125" s="38"/>
    </row>
    <row r="126" spans="1:16" s="20" customFormat="1">
      <c r="A126" s="22"/>
      <c r="B126" s="26" t="s">
        <v>22</v>
      </c>
      <c r="C126" s="22">
        <v>894.5</v>
      </c>
      <c r="D126" s="22">
        <v>603.6</v>
      </c>
      <c r="E126" s="22"/>
      <c r="F126" s="22"/>
      <c r="G126" s="51">
        <f>I126-J126</f>
        <v>0</v>
      </c>
      <c r="H126" s="51"/>
      <c r="I126" s="22">
        <f>J126</f>
        <v>100703.9</v>
      </c>
      <c r="J126" s="22">
        <f t="shared" si="31"/>
        <v>100703.9</v>
      </c>
      <c r="K126" s="22">
        <v>37789.9</v>
      </c>
      <c r="L126" s="22"/>
      <c r="M126" s="22">
        <v>61251</v>
      </c>
      <c r="N126" s="39">
        <v>1663</v>
      </c>
      <c r="O126" s="38"/>
    </row>
    <row r="129" spans="4:16">
      <c r="D129" s="68">
        <f>D120+D110+D90+D80</f>
        <v>6648.8</v>
      </c>
      <c r="E129" s="68">
        <f t="shared" ref="E129:P129" si="32">E120+E110+E90+E80</f>
        <v>0</v>
      </c>
      <c r="F129" s="68"/>
      <c r="G129" s="68"/>
      <c r="H129" s="68"/>
      <c r="I129" s="68"/>
      <c r="J129" s="68">
        <f t="shared" si="32"/>
        <v>2368151.1003999999</v>
      </c>
      <c r="K129" s="68">
        <f t="shared" si="32"/>
        <v>2281388.1799999997</v>
      </c>
      <c r="L129" s="68">
        <f t="shared" si="32"/>
        <v>0</v>
      </c>
      <c r="M129" s="68">
        <f t="shared" si="32"/>
        <v>58633.2</v>
      </c>
      <c r="N129" s="68">
        <f>N120+N110+N90+N80</f>
        <v>28129.720399999998</v>
      </c>
      <c r="O129" s="68">
        <f t="shared" si="32"/>
        <v>0</v>
      </c>
      <c r="P129" s="65">
        <f t="shared" si="32"/>
        <v>93514.981359862679</v>
      </c>
    </row>
    <row r="130" spans="4:16">
      <c r="D130" s="68">
        <f>6453+195.8</f>
        <v>6648.8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>
        <f>(19146.5+2458.5)*1.302</f>
        <v>28129.710000000003</v>
      </c>
      <c r="O130" s="68"/>
    </row>
    <row r="131" spans="4:16">
      <c r="D131" s="68">
        <f>D129-D130</f>
        <v>0</v>
      </c>
      <c r="E131" s="68">
        <f t="shared" ref="E131:O131" si="33">E129-E130</f>
        <v>0</v>
      </c>
      <c r="F131" s="68">
        <f t="shared" si="33"/>
        <v>0</v>
      </c>
      <c r="G131" s="68">
        <f t="shared" si="33"/>
        <v>0</v>
      </c>
      <c r="H131" s="68"/>
      <c r="I131" s="68"/>
      <c r="J131" s="68">
        <f t="shared" si="33"/>
        <v>2368151.1003999999</v>
      </c>
      <c r="K131" s="68">
        <f t="shared" si="33"/>
        <v>2281388.1799999997</v>
      </c>
      <c r="L131" s="68">
        <f t="shared" si="33"/>
        <v>0</v>
      </c>
      <c r="M131" s="68">
        <f t="shared" si="33"/>
        <v>58633.2</v>
      </c>
      <c r="N131" s="68">
        <f t="shared" si="33"/>
        <v>1.0399999995570397E-2</v>
      </c>
      <c r="O131" s="68">
        <f t="shared" si="33"/>
        <v>0</v>
      </c>
    </row>
    <row r="132" spans="4:16"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4:16">
      <c r="J133" s="4" t="s">
        <v>54</v>
      </c>
      <c r="K133" s="69">
        <f>K129+M129</f>
        <v>2340021.38</v>
      </c>
    </row>
    <row r="134" spans="4:16">
      <c r="K134" s="69">
        <f>(1763674.7+43291.6)*1.295</f>
        <v>2340021.3585000001</v>
      </c>
    </row>
    <row r="135" spans="4:16">
      <c r="K135" s="69">
        <f>K133-K134</f>
        <v>2.1499999798834324E-2</v>
      </c>
    </row>
  </sheetData>
  <autoFilter ref="A8:R8"/>
  <mergeCells count="18">
    <mergeCell ref="A3:A6"/>
    <mergeCell ref="B3:B6"/>
    <mergeCell ref="C3:O3"/>
    <mergeCell ref="C4:C6"/>
    <mergeCell ref="D4:D6"/>
    <mergeCell ref="F4:F6"/>
    <mergeCell ref="G4:G6"/>
    <mergeCell ref="I4:I6"/>
    <mergeCell ref="H4:H6"/>
    <mergeCell ref="J4:O4"/>
    <mergeCell ref="E5:E6"/>
    <mergeCell ref="J5:J6"/>
    <mergeCell ref="K5:L5"/>
    <mergeCell ref="M5:M6"/>
    <mergeCell ref="N5:N6"/>
    <mergeCell ref="O5:O6"/>
    <mergeCell ref="M1:O1"/>
    <mergeCell ref="B2:N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view="pageBreakPreview" zoomScaleNormal="100" zoomScaleSheetLayoutView="100" workbookViewId="0">
      <selection activeCell="B4" sqref="B4"/>
    </sheetView>
  </sheetViews>
  <sheetFormatPr defaultColWidth="9.109375" defaultRowHeight="14.4"/>
  <cols>
    <col min="1" max="1" width="5.5546875" style="70" customWidth="1"/>
    <col min="2" max="2" width="39.33203125" style="70" customWidth="1"/>
    <col min="3" max="3" width="14.109375" style="78" customWidth="1"/>
    <col min="4" max="4" width="14.109375" style="70" customWidth="1"/>
    <col min="5" max="5" width="32.21875" style="70" customWidth="1"/>
    <col min="6" max="7" width="9.109375" style="70"/>
    <col min="8" max="8" width="10.5546875" style="70" bestFit="1" customWidth="1"/>
    <col min="9" max="16384" width="9.109375" style="70"/>
  </cols>
  <sheetData>
    <row r="2" spans="1:5" ht="66.75" customHeight="1">
      <c r="A2" s="109" t="s">
        <v>65</v>
      </c>
      <c r="B2" s="109"/>
      <c r="C2" s="109"/>
      <c r="D2" s="109"/>
      <c r="E2" s="109"/>
    </row>
    <row r="3" spans="1:5" ht="15.6">
      <c r="A3" s="71"/>
      <c r="B3" s="71"/>
      <c r="C3" s="79"/>
      <c r="D3" s="71"/>
      <c r="E3" s="71"/>
    </row>
    <row r="4" spans="1:5" ht="119.25" customHeight="1">
      <c r="A4" s="73" t="s">
        <v>57</v>
      </c>
      <c r="B4" s="73" t="s">
        <v>58</v>
      </c>
      <c r="C4" s="74" t="s">
        <v>61</v>
      </c>
      <c r="D4" s="73" t="s">
        <v>59</v>
      </c>
      <c r="E4" s="74" t="s">
        <v>62</v>
      </c>
    </row>
    <row r="5" spans="1:5" ht="13.2" customHeight="1">
      <c r="A5" s="85">
        <v>1</v>
      </c>
      <c r="B5" s="85">
        <v>2</v>
      </c>
      <c r="C5" s="85">
        <v>3</v>
      </c>
      <c r="D5" s="85">
        <v>4</v>
      </c>
      <c r="E5" s="85" t="s">
        <v>60</v>
      </c>
    </row>
    <row r="6" spans="1:5" ht="16.8" customHeight="1">
      <c r="A6" s="75">
        <v>1</v>
      </c>
      <c r="B6" s="72" t="s">
        <v>63</v>
      </c>
      <c r="C6" s="86">
        <v>38</v>
      </c>
      <c r="D6" s="81">
        <v>3700</v>
      </c>
      <c r="E6" s="82">
        <f>ROUND(C6*D6*12*1.302/1000,0)</f>
        <v>2197</v>
      </c>
    </row>
    <row r="7" spans="1:5" ht="32.4" customHeight="1">
      <c r="A7" s="76">
        <v>2</v>
      </c>
      <c r="B7" s="80" t="s">
        <v>64</v>
      </c>
      <c r="C7" s="86">
        <v>1541</v>
      </c>
      <c r="D7" s="81">
        <v>3700</v>
      </c>
      <c r="E7" s="82">
        <f>ROUND(C7*D7*12*1.302/1000,0)</f>
        <v>89083</v>
      </c>
    </row>
    <row r="8" spans="1:5" ht="15.6">
      <c r="A8" s="75"/>
      <c r="B8" s="77" t="s">
        <v>56</v>
      </c>
      <c r="C8" s="87">
        <f>SUM(C6:C7)</f>
        <v>1579</v>
      </c>
      <c r="D8" s="83"/>
      <c r="E8" s="84">
        <f>SUM(E6:E7)</f>
        <v>91280</v>
      </c>
    </row>
    <row r="9" spans="1:5" ht="21.9" customHeight="1">
      <c r="A9" s="110"/>
      <c r="B9" s="111"/>
      <c r="C9" s="111"/>
      <c r="D9" s="111"/>
      <c r="E9" s="111"/>
    </row>
  </sheetData>
  <mergeCells count="2">
    <mergeCell ref="A2:E2"/>
    <mergeCell ref="A9:E9"/>
  </mergeCells>
  <printOptions horizontalCentered="1"/>
  <pageMargins left="0.23622047244094491" right="0.15748031496062992" top="0.74803149606299213" bottom="0.74803149606299213" header="0.31496062992125984" footer="0.31496062992125984"/>
  <pageSetup paperSize="9" scale="97" orientation="portrait" horizontalDpi="180" verticalDpi="18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2014 г.</vt:lpstr>
      <vt:lpstr>Таб. 4 Расчет объема реализацию</vt:lpstr>
      <vt:lpstr>'2014 г.'!Заголовки_для_печати</vt:lpstr>
      <vt:lpstr>'2014 г.'!Область_печати</vt:lpstr>
      <vt:lpstr>'Таб. 4 Расчет объема реализацию'!Область_печати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Kunguryakova</dc:creator>
  <cp:lastModifiedBy>Федоров</cp:lastModifiedBy>
  <cp:lastPrinted>2017-03-10T10:24:34Z</cp:lastPrinted>
  <dcterms:created xsi:type="dcterms:W3CDTF">2015-03-17T12:58:08Z</dcterms:created>
  <dcterms:modified xsi:type="dcterms:W3CDTF">2017-03-10T12:43:32Z</dcterms:modified>
</cp:coreProperties>
</file>